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857" activeTab="0"/>
  </bookViews>
  <sheets>
    <sheet name="U1U2 Funz ABD" sheetId="1" r:id="rId1"/>
    <sheet name="U1U2 Funz CEF" sheetId="2" r:id="rId2"/>
    <sheet name="SCHEDA A-QCC NUOVO RESIDENZIALE" sheetId="3" r:id="rId3"/>
    <sheet name="SCHEDA B-QCC ESIST_RESIDENZIAL" sheetId="4" r:id="rId4"/>
    <sheet name="SCHEDA C - New Com Direz Prod_2" sheetId="5" r:id="rId5"/>
    <sheet name="SCHEDA D ESIST. Com Direz Prod" sheetId="6" r:id="rId6"/>
    <sheet name="D + S" sheetId="7" r:id="rId7"/>
    <sheet name="CDC TOTALE" sheetId="8" r:id="rId8"/>
    <sheet name="Rapporto compatibilità" sheetId="9" r:id="rId9"/>
  </sheets>
  <definedNames/>
  <calcPr fullCalcOnLoad="1"/>
</workbook>
</file>

<file path=xl/sharedStrings.xml><?xml version="1.0" encoding="utf-8"?>
<sst xmlns="http://schemas.openxmlformats.org/spreadsheetml/2006/main" count="1015" uniqueCount="388">
  <si>
    <t>TABELLA CONTEGGIO ONERI URBANIZZAZIONE</t>
  </si>
  <si>
    <t>TABELLA B</t>
  </si>
  <si>
    <t>Mettere "x"  minuscola</t>
  </si>
  <si>
    <t>U1 (€/mq)</t>
  </si>
  <si>
    <t>U2 (€/mq)</t>
  </si>
  <si>
    <t>A) FUNZIONE RESIDENZIALE</t>
  </si>
  <si>
    <t>B) Funzione turistico-ricettiva</t>
  </si>
  <si>
    <t>x</t>
  </si>
  <si>
    <t>D) Funzione direzionale</t>
  </si>
  <si>
    <t>ART. 1.2.9</t>
  </si>
  <si>
    <t>Mettere "x"  minuscola in caso di riduzione</t>
  </si>
  <si>
    <r>
      <t>Gli oneri da applicare alle</t>
    </r>
    <r>
      <rPr>
        <b/>
        <sz val="10"/>
        <rFont val="Verdana"/>
        <family val="2"/>
      </rPr>
      <t xml:space="preserve"> funzioni svolte all’aperto </t>
    </r>
    <r>
      <rPr>
        <sz val="10"/>
        <rFont val="Verdana"/>
        <family val="2"/>
      </rPr>
      <t>sono calcolati nella misura del 2% rispetto ai valori unitari della funzione prevalente di cui alla precedente Tabella B.</t>
    </r>
  </si>
  <si>
    <t>TABELLA C</t>
  </si>
  <si>
    <t>NUOVA COSTRUZIONE (NC)
RISTRUTTURAZIONE URBANISTICA (RU)</t>
  </si>
  <si>
    <t>RISTRUTTURAZIONE CON AUMENTO DI CU</t>
  </si>
  <si>
    <t>RISTRUTTURAZIONE SENZA AUMENTO DI CU</t>
  </si>
  <si>
    <t>Parziale</t>
  </si>
  <si>
    <t>FUORI DAL T.U.</t>
  </si>
  <si>
    <t>ALTRE RIDUZIONI</t>
  </si>
  <si>
    <t>Mettere "x" minuscola in caso di riduzione</t>
  </si>
  <si>
    <t>Valori Unitari</t>
  </si>
  <si>
    <t>U1 €</t>
  </si>
  <si>
    <t>U2 €</t>
  </si>
  <si>
    <t>U1 + U2</t>
  </si>
  <si>
    <t>C) E) Funzione commerciale al dettaglio e Funzione produttiva limitatamente all’artigianato di servizio (casa, persona)</t>
  </si>
  <si>
    <t>C) Funzione produttiva</t>
  </si>
  <si>
    <t>E) Funzione commerciale all’ingrosso</t>
  </si>
  <si>
    <t>F) Funzione rurale</t>
  </si>
  <si>
    <t>Mettere "x"  in caso di riduzione</t>
  </si>
  <si>
    <t>ART. 1.2.7
(SOLO PER RISTRUTTURAZIONI EDILIZIE SENZA AUMENTO DI C.U.)</t>
  </si>
  <si>
    <t>CATEGORIE CATASTALI</t>
  </si>
  <si>
    <t>A/2</t>
  </si>
  <si>
    <t>CIVILE ABITAZIONE</t>
  </si>
  <si>
    <t>A</t>
  </si>
  <si>
    <t xml:space="preserve">VALORE "A" </t>
  </si>
  <si>
    <t>B2</t>
  </si>
  <si>
    <t>B4</t>
  </si>
  <si>
    <t>B5</t>
  </si>
  <si>
    <t>D1</t>
  </si>
  <si>
    <t>D2</t>
  </si>
  <si>
    <t>D3</t>
  </si>
  <si>
    <t>R1</t>
  </si>
  <si>
    <t>E2</t>
  </si>
  <si>
    <t>A/3</t>
  </si>
  <si>
    <t>ABITAZIONI ECONOMICHE</t>
  </si>
  <si>
    <t>A/7
e
A/8</t>
  </si>
  <si>
    <t>VILLE E VILLINI</t>
  </si>
  <si>
    <t>SCHEDA A
Calcolo QCC per interventi di nuova costruzione e per interventi di ristrutturazione
con demolizione e ricostruzione. Categoria funzionale: residenza</t>
  </si>
  <si>
    <t>TABELLA 1 - INCREMENTO PER SUPERFICIE UTILE ABITABILE – i1</t>
  </si>
  <si>
    <t>n° ALLOGGI</t>
  </si>
  <si>
    <r>
      <t xml:space="preserve">Superficie utile
</t>
    </r>
    <r>
      <rPr>
        <b/>
        <sz val="8"/>
        <rFont val="Arial"/>
        <family val="2"/>
      </rPr>
      <t>SU (mq)</t>
    </r>
  </si>
  <si>
    <t>Rapporto rispetto al totale di SU</t>
  </si>
  <si>
    <t xml:space="preserve">% di incremento
</t>
  </si>
  <si>
    <t>% incremento per classi di superficie</t>
  </si>
  <si>
    <t>(2)</t>
  </si>
  <si>
    <t>(3)</t>
  </si>
  <si>
    <t>(4)=(3):Su</t>
  </si>
  <si>
    <t>(5)</t>
  </si>
  <si>
    <t>(6)=(4)*(5)</t>
  </si>
  <si>
    <t xml:space="preserve">i1=% incremento </t>
  </si>
  <si>
    <t>TABELLA 2 - INCREMENTO PER SERVIZI ED ACCESSORI – i2</t>
  </si>
  <si>
    <t>Tot. SA</t>
  </si>
  <si>
    <t>Tot. SU</t>
  </si>
  <si>
    <t>R=(SA:SU)*100=…%</t>
  </si>
  <si>
    <t xml:space="preserve">i2=% incremento </t>
  </si>
  <si>
    <t>TABELLA 3 – CALCOLO INCREMENTO i E MAGGIORAZIONE M</t>
  </si>
  <si>
    <r>
      <t xml:space="preserve">Classe edificio
</t>
    </r>
    <r>
      <rPr>
        <sz val="8"/>
        <rFont val="Arial"/>
        <family val="2"/>
      </rPr>
      <t>(art.8 - DM 801 del 10/05/77)</t>
    </r>
  </si>
  <si>
    <r>
      <t xml:space="preserve">Maggiorazione M %
</t>
    </r>
    <r>
      <rPr>
        <sz val="8"/>
        <rFont val="Arial"/>
        <family val="2"/>
      </rPr>
      <t>(art.8 - DM 801 del 10/05/77)</t>
    </r>
  </si>
  <si>
    <t>M</t>
  </si>
  <si>
    <t>i1+i2=i</t>
  </si>
  <si>
    <t xml:space="preserve">Selezionare il valore di A in base alla categoria catastale e alla zona OMI e inserire </t>
  </si>
  <si>
    <t>B</t>
  </si>
  <si>
    <t>COSTO DI COSTRUZIONE MAGGIORATO</t>
  </si>
  <si>
    <t>B=A*(1+M/100)</t>
  </si>
  <si>
    <t>CALCOLO DI QCC RELATIVO AL COSTO DI COSTRUZIONE</t>
  </si>
  <si>
    <t>SA</t>
  </si>
  <si>
    <t>SU</t>
  </si>
  <si>
    <t>SC</t>
  </si>
  <si>
    <t>(i)</t>
  </si>
  <si>
    <t>P (%)</t>
  </si>
  <si>
    <t>RIDUZIONE ART. 5.3.12</t>
  </si>
  <si>
    <t>Superficie Accessoria</t>
  </si>
  <si>
    <t>Superficie Utile</t>
  </si>
  <si>
    <t>Superficie Complessiva</t>
  </si>
  <si>
    <t>Valore di B=A*(1+M/100)</t>
  </si>
  <si>
    <t xml:space="preserve">Nella nuova costruzione non ci sono riduzioni </t>
  </si>
  <si>
    <t>Percentuale P in relazione al costo di costruzione unitario maggiorato B</t>
  </si>
  <si>
    <r>
      <t xml:space="preserve">QCC
</t>
    </r>
    <r>
      <rPr>
        <b/>
        <sz val="10"/>
        <rFont val="Arial"/>
        <family val="2"/>
      </rPr>
      <t>Costo 
Costruzione</t>
    </r>
  </si>
  <si>
    <t>mq</t>
  </si>
  <si>
    <t>€/mq</t>
  </si>
  <si>
    <t>SCHEDA B
Calcolo QCC per interventi su edifici esistenti. Categoria funzionale: residenza</t>
  </si>
  <si>
    <t>Superficie  Complessiva</t>
  </si>
  <si>
    <t>Selezionare un valore di A</t>
  </si>
  <si>
    <t>Fondazioni</t>
  </si>
  <si>
    <t>Travi, Pilastri
Tamponamenti,
Muri Portanti</t>
  </si>
  <si>
    <t>Solai, Balconi</t>
  </si>
  <si>
    <t>Tramezzi interni</t>
  </si>
  <si>
    <t>Coperture</t>
  </si>
  <si>
    <t>Percentuale P in relazione al costo di costruzione unitario maggiorato A</t>
  </si>
  <si>
    <t>C/1</t>
  </si>
  <si>
    <t>NEGOZI</t>
  </si>
  <si>
    <t>A/10</t>
  </si>
  <si>
    <t>C/3</t>
  </si>
  <si>
    <t>PRODUTTIVO</t>
  </si>
  <si>
    <t>SCHEDA C
Calcolo QCC per interventi di nuova costruzione e per interventi di ristrutturazione con demolizione e ricostruzione. Categoria funzionale: commerciali, turistico ricettive, direzionali o fornitrici di servizi, di carattere non artigianale</t>
  </si>
  <si>
    <r>
      <t xml:space="preserve">%
</t>
    </r>
    <r>
      <rPr>
        <sz val="10"/>
        <rFont val="Arial"/>
        <family val="2"/>
      </rPr>
      <t>RIDUZIONE
ART. 5.5.2</t>
    </r>
  </si>
  <si>
    <t>Il Comune conferma la percentuale del 10% fissata dalla DAL n. 186/2018 per attività commerciali,
turistico-ricettive, direzionali o fornitrici di servizi, di carattere non artigianale</t>
  </si>
  <si>
    <t>%</t>
  </si>
  <si>
    <t>DIREZIONALE UFFICI TERZIARIO</t>
  </si>
  <si>
    <t>D/2</t>
  </si>
  <si>
    <t>ALBERGHI</t>
  </si>
  <si>
    <t>Numero delle camere</t>
  </si>
  <si>
    <t>o</t>
  </si>
  <si>
    <t>prezzo medio camera</t>
  </si>
  <si>
    <t>Sc</t>
  </si>
  <si>
    <t>MIMA</t>
  </si>
  <si>
    <t>CERVIA</t>
  </si>
  <si>
    <t>PINARELLA</t>
  </si>
  <si>
    <t>TERME MALVA</t>
  </si>
  <si>
    <t>TAGLIATA</t>
  </si>
  <si>
    <t>FORESE</t>
  </si>
  <si>
    <t>SCHEDA D
Calcolo QCC per interventi su edifici esistenti. Categoria funzionale: commerciali, turistico ricettive, direzionali o fornitrici di servizi, di carattere non artigianale</t>
  </si>
  <si>
    <t>Superficie di
Costruzione</t>
  </si>
  <si>
    <t>La QCC è ridotta del 50% per gli interventi sulle strutture esistenti</t>
  </si>
  <si>
    <t>Rapporto compatibilità per Foglio di Calcolo Costi di Costruzione Settembre 2019_celle_1.xls</t>
  </si>
  <si>
    <t>Data esecuzione: 18/09/2019 14:04</t>
  </si>
  <si>
    <t>Le seguenti caratteristiche della cartella di lavoro non sono supportate nelle versioni precedenti di Excel. Se si apre la cartella di lavoro in una versione precedente di Excel o la si salva in un formato di file precedente, tali caratteristiche potrebbero andare perse o venire ridotte.</t>
  </si>
  <si>
    <t>Perdita di funzionalità significativa</t>
  </si>
  <si>
    <t>Numero occorrenze</t>
  </si>
  <si>
    <t>Versione</t>
  </si>
  <si>
    <t>Alcune formule includono un numero di livelli di nidificazione superiore al massimo supportato dal formato di file selezionato. Le formule con più di sette livelli di nidificazione non verranno salvate e saranno convertite in errori di tipo #VALORE!.</t>
  </si>
  <si>
    <t>SCHEDA A - Cc NEW RESIDENZIALE'!K30:L30</t>
  </si>
  <si>
    <t>Excel 97-2003</t>
  </si>
  <si>
    <t>Mettere "in" o "out" minuscola a seconda che l'intervento sia all'interno o all'esterno del territorio urbanizzato</t>
  </si>
  <si>
    <t>FUORI TU</t>
  </si>
  <si>
    <t>X</t>
  </si>
  <si>
    <t xml:space="preserve"> Funzione commerciale al dettaglio e Funzione produttiva limitatamente all’artigianato di servizio (casa, persona)                                                                            NUOVA COSTRUZIONE (NC)
RISTRUTTURAZIONE URBANISTICA (RU)</t>
  </si>
  <si>
    <t xml:space="preserve"> Funzione commerciale al dettaglio e Funzione produttiva limitatamente all’artigianato di servizio (casa, persona)                                                                            RISTRUTTURAZIONE CON AUMENTO DI CU</t>
  </si>
  <si>
    <t>Funzioni</t>
  </si>
  <si>
    <t>Residenziale</t>
  </si>
  <si>
    <t>Commerciale al dettaglio e produttiva limit.all'artigianato di servizio (casa e persona)</t>
  </si>
  <si>
    <t>Turistica-ricettiva</t>
  </si>
  <si>
    <t>Direzionale</t>
  </si>
  <si>
    <t>Produttiva</t>
  </si>
  <si>
    <t>Commerciale all'ingrosso</t>
  </si>
  <si>
    <t>Rurale</t>
  </si>
  <si>
    <t>Interventi da realizzarsi con Programmi di Riqualificazione Urbana (PRU)</t>
  </si>
  <si>
    <t>Interventi di riqualificazione urbana su aree definite, in attuazione del PSC, quali Ambiti da riqualificare (AR)</t>
  </si>
  <si>
    <t>1.4.3. Interventi relative a residenze per anziani - strutture socio- assistenziali - sanitarie ed educative</t>
  </si>
  <si>
    <t>1.4.4. Interventi di Edilizia Residenziale Sociale (ERS)</t>
  </si>
  <si>
    <t>1.4.6. Interventi per attività industriali ed artigianali collocate in aree ecologicamente attrezzate</t>
  </si>
  <si>
    <t>1.4.7. Tettoie destinate a depositi connesse ad attività produttive</t>
  </si>
  <si>
    <t>1.4.8. 1 superamento barriere architettoniche: livello richiesto dalla specifica normativa in relazione al tipo di intervento</t>
  </si>
  <si>
    <t xml:space="preserve">1.4.8. 2 superamento barriere architettoniche:   livello superiore rispetto a quello richiesto dalla specifica normativa in relazione al tipo di intervento
</t>
  </si>
  <si>
    <r>
      <t xml:space="preserve">1.4.8. 3 efficienza energetica: </t>
    </r>
    <r>
      <rPr>
        <sz val="10"/>
        <rFont val="Verdana"/>
        <family val="2"/>
      </rPr>
      <t xml:space="preserve">riduzione di almento  il 30% della prestazione dell’edificio reale (Epgl,tot) rispetto all'edificio di riferimento, e che assicurino tramite FER, una copertura dei consumi di calore, di elettricità e per il raffrescamento in misura superiore di almeno il 30% rispetto al limite minimo previsto dalla D.G.R. n. 967/2015 e s.m.i. per le nuove costruzioni </t>
    </r>
  </si>
  <si>
    <r>
      <t xml:space="preserve">1.4.8. 4 efficienza energetica: </t>
    </r>
    <r>
      <rPr>
        <sz val="10"/>
        <rFont val="Verdana"/>
        <family val="2"/>
      </rPr>
      <t xml:space="preserve">riduzione di almento  il 35% della prestazione dell’edificio reale (Epgl,tot) rispetto all'edificio di riferimento, e che assicurino tramite FER, una copertura dei consumi di calore, di elettricità e per il raffrescamento in misura superiore di almeno il 30% rispetto al limite minimo previsto dalla D.G.R. n. 967/2015 e s.m.i. per le nuove costruzioni </t>
    </r>
  </si>
  <si>
    <r>
      <t xml:space="preserve">1.4.8. 5 efficienza energetica: </t>
    </r>
    <r>
      <rPr>
        <sz val="10"/>
        <rFont val="Verdana"/>
        <family val="2"/>
      </rPr>
      <t xml:space="preserve">riduzione di almento  il 40% della prestazione dell’edificio reale (Epgl,tot) rispetto all'edificio di riferimento, e che assicurino tramite FER, una copertura dei consumi di calore, di elettricità e per il raffrescamento in misura superiore di almeno il 30% rispetto al limite minimo previsto dalla D.G.R. n. 967/2015 e s.m.i. per le nuove costruzioni </t>
    </r>
  </si>
  <si>
    <r>
      <t xml:space="preserve">1.4.8. 6 efficienza energetica: </t>
    </r>
    <r>
      <rPr>
        <sz val="10"/>
        <rFont val="Verdana"/>
        <family val="2"/>
      </rPr>
      <t xml:space="preserve">riduzione di almento  il 45% della prestazione dell’edificio reale (Epgl,tot) rispetto all'edificio di riferimento, e che assicurino tramite FER, una copertura dei consumi di calore, di elettricità e per il raffrescamento in misura superiore di almeno il 30% rispetto al limite minimo previsto dalla D.G.R. n. 967/2015 e s.m.i. per le nuove costruzioni </t>
    </r>
  </si>
  <si>
    <t>1.4.8. 7 sicurezza sismica: interventi di miglioramento</t>
  </si>
  <si>
    <t>1.4.8. 8 sicurezza sismica: interventi di adeguamento o di “nuova costruzione” (DR e RE “ricostruttiva”)</t>
  </si>
  <si>
    <t>1.4.8. 9 Realizzazione di tetti verdi e pareti verdi verticali</t>
  </si>
  <si>
    <t>1.4.8. 10 Desigillazione terreni e ripristini permeabilità delle aree</t>
  </si>
  <si>
    <t xml:space="preserve"> Comune di Rimini - Settore Governo del Territorio - A.A.</t>
  </si>
  <si>
    <t>Totale</t>
  </si>
  <si>
    <r>
      <t xml:space="preserve">La quota 0,3 della precedente Tabella C per funzioni produttive/commerciali/rurali è ridotta a 0,2 in caso di </t>
    </r>
    <r>
      <rPr>
        <b/>
        <sz val="10"/>
        <rFont val="Verdana"/>
        <family val="2"/>
      </rPr>
      <t>esercizi di vicinato</t>
    </r>
    <r>
      <rPr>
        <sz val="10"/>
        <rFont val="Verdana"/>
        <family val="2"/>
      </rPr>
      <t xml:space="preserve"> (ovvero di esercizi commerciali in cui si effettua la vendita direttamente al consumatore finale, che abbia una superficie di vendita non superiore a 150 mq nei Comuni con popolazione residente inferiore a 10.000 abitanti e a 250 mq nei Comuni con oltre 10.000 abitanti) e in caso di artigianato di servizio (alla casa e alla persona).</t>
    </r>
  </si>
  <si>
    <t>Interventi sul patrimonio esistente ai sensi dell'art. 7 ter della L.R. 20/2000, finalizzati al contestuale raggiungimento degli obiettivi di interesse pubblico in materia di significativo miglioramento dell'efficienza energetica degli edifici e/o realizzazione di interventi di miglioramento sismico degli edifici, non finalizzati all'ottenimento di specifiche forme di premialità e/o deroghe [art. 48, art. 51, 3° comma, lettere a2) e a3), art. 57, 3° comma, lettere a2) e a3), art. 67, 3° comma, lettere a2) e a3) del RUE],</t>
  </si>
  <si>
    <t>Interventi di adeguamento sismico degli edifici o “nuova costruzione” (DR e RE “ricostruttiva”) ai sensi del 7ter L.R. 20/2000 [art. 48, art. 51, 3° comma, lettere a2) e a3), art. 57, 3° comma, lettere a2) e a3), art. 67, 3° comma, lettere a2) e a3) del RUE], PRU, Ambiti da riqualificare.</t>
  </si>
  <si>
    <t>i.1 + i.2 = I (%) -</t>
  </si>
  <si>
    <t>Classe edificio</t>
  </si>
  <si>
    <t>Maggiorazione M*</t>
  </si>
  <si>
    <t>% di I finoa a 5 inclusa:    Classe I</t>
  </si>
  <si>
    <t>M=0</t>
  </si>
  <si>
    <t>% di I da 30 a 35 inclusa: Classe VII</t>
  </si>
  <si>
    <t>M=30</t>
  </si>
  <si>
    <t>% di I da   5 a 10 inclusa: Classe II</t>
  </si>
  <si>
    <t>M=5</t>
  </si>
  <si>
    <t>% di I da 35 a 40 inclusa: Classe VIII</t>
  </si>
  <si>
    <t>M=35</t>
  </si>
  <si>
    <t>% di I da 10 a 15 inclusa: Classe III</t>
  </si>
  <si>
    <t>M=10</t>
  </si>
  <si>
    <t>% di I da 40 a 45 inclusa: Classe IX</t>
  </si>
  <si>
    <t>M=40</t>
  </si>
  <si>
    <t>% di I da 15 a 20 inclusa: Classe IV</t>
  </si>
  <si>
    <t>M=15</t>
  </si>
  <si>
    <t>% di I da 45 a 50 inclusa: Classe X</t>
  </si>
  <si>
    <t>M=45</t>
  </si>
  <si>
    <t>% di I da 20 a 25 inclusa: Classe V</t>
  </si>
  <si>
    <t>M=20</t>
  </si>
  <si>
    <t>% di I oltre a 50:               Classe XI</t>
  </si>
  <si>
    <t>M=50</t>
  </si>
  <si>
    <t>% di I da 25 a 30 inclusa: Classe VI</t>
  </si>
  <si>
    <t>M=25</t>
  </si>
  <si>
    <t>Percentuale “P” in relazione al costo di costruzione unitario maggiorato B</t>
  </si>
  <si>
    <t>Classi valori imponibili “B” €/mq</t>
  </si>
  <si>
    <t>&lt;500</t>
  </si>
  <si>
    <t>501-1000</t>
  </si>
  <si>
    <t>1000-1500</t>
  </si>
  <si>
    <t>1501-2000</t>
  </si>
  <si>
    <t>2001-2500</t>
  </si>
  <si>
    <t>2501-3000</t>
  </si>
  <si>
    <t>3001-3500</t>
  </si>
  <si>
    <t>3501-4000</t>
  </si>
  <si>
    <t>4001-4500</t>
  </si>
  <si>
    <t>&gt;4500</t>
  </si>
  <si>
    <t>ZONA OMI</t>
  </si>
  <si>
    <t>B1</t>
  </si>
  <si>
    <t>B7</t>
  </si>
  <si>
    <t>C1</t>
  </si>
  <si>
    <t>C2</t>
  </si>
  <si>
    <t>C3</t>
  </si>
  <si>
    <t>C4</t>
  </si>
  <si>
    <t>D4</t>
  </si>
  <si>
    <t>D5</t>
  </si>
  <si>
    <t>D6</t>
  </si>
  <si>
    <t>D7</t>
  </si>
  <si>
    <t>D8</t>
  </si>
  <si>
    <t>D9</t>
  </si>
  <si>
    <t>D10</t>
  </si>
  <si>
    <t>D11</t>
  </si>
  <si>
    <t>E1</t>
  </si>
  <si>
    <t>E3</t>
  </si>
  <si>
    <t>R5</t>
  </si>
  <si>
    <r>
      <t xml:space="preserve">RIDUZIONI ART. 1.4.1 - </t>
    </r>
    <r>
      <rPr>
        <b/>
        <sz val="11"/>
        <rFont val="Arial"/>
        <family val="2"/>
      </rPr>
      <t>All’interno del territorio urbanizzato</t>
    </r>
    <r>
      <rPr>
        <sz val="11"/>
        <rFont val="Arial"/>
        <family val="2"/>
      </rPr>
      <t xml:space="preserve">, U1 e U2 sono ridotti in misura non inferiore al 35 per cento, rispetto a quello previsto per le nuove costruzioni, per gli interventi di ristrutturazione urbanistica ed edilizia, addensamento o sostituzione urbana, e per interventi di recupero o riuso di immobili dismessi o in via di dismissione. </t>
    </r>
  </si>
  <si>
    <t>RIMINI</t>
  </si>
  <si>
    <t>U1</t>
  </si>
  <si>
    <t>U2</t>
  </si>
  <si>
    <t>TOTALE</t>
  </si>
  <si>
    <t>RESIDENZIALE</t>
  </si>
  <si>
    <t>TURISTICO-RICETTIVO</t>
  </si>
  <si>
    <t>DIREZIONALE</t>
  </si>
  <si>
    <t>Mettere "in" o "out" minuscolo a seconda che l'intervento sia all'interno o all'esterno del territorio urbanizzato per NC ed RE con aumento di CU - se l'intervento è di RE senza aumento di CU sia all'interno che all'esterno del TU inserire"x" minuscola nella relativa cella</t>
  </si>
  <si>
    <t>C/6</t>
  </si>
  <si>
    <t>BOX</t>
  </si>
  <si>
    <t>CLASSE</t>
  </si>
  <si>
    <t>I</t>
  </si>
  <si>
    <t>VII</t>
  </si>
  <si>
    <t>II</t>
  </si>
  <si>
    <t>VIII</t>
  </si>
  <si>
    <t>III</t>
  </si>
  <si>
    <t>IX</t>
  </si>
  <si>
    <t>IV</t>
  </si>
  <si>
    <t>V</t>
  </si>
  <si>
    <t>XI</t>
  </si>
  <si>
    <t>VI</t>
  </si>
  <si>
    <t>Max riduzioni (1.4.8. -30%)</t>
  </si>
  <si>
    <t>Max riduzioni (1.4 -70%)</t>
  </si>
  <si>
    <t>Max riduzioni 1.4.8. -30%</t>
  </si>
  <si>
    <t>Max riduzioni 1.4. -70%</t>
  </si>
  <si>
    <t>NELLE CELLE VERDI INSERIRE DATI (INPUT)</t>
  </si>
  <si>
    <t>INTERVENTO (NC-RE)</t>
  </si>
  <si>
    <t>Classi di superfici (mq)</t>
  </si>
  <si>
    <t>(1)</t>
  </si>
  <si>
    <r>
      <rPr>
        <b/>
        <sz val="9.1"/>
        <rFont val="Calibri"/>
        <family val="2"/>
      </rPr>
      <t>≤</t>
    </r>
    <r>
      <rPr>
        <b/>
        <sz val="9.1"/>
        <rFont val="Arial"/>
        <family val="2"/>
      </rPr>
      <t>95</t>
    </r>
  </si>
  <si>
    <r>
      <t>&lt;95</t>
    </r>
    <r>
      <rPr>
        <b/>
        <sz val="9.1"/>
        <rFont val="Calibri"/>
        <family val="2"/>
      </rPr>
      <t>≤</t>
    </r>
    <r>
      <rPr>
        <b/>
        <sz val="9.1"/>
        <rFont val="Arial"/>
        <family val="2"/>
      </rPr>
      <t>110</t>
    </r>
  </si>
  <si>
    <r>
      <t>&gt;110</t>
    </r>
    <r>
      <rPr>
        <b/>
        <sz val="9.1"/>
        <rFont val="Calibri"/>
        <family val="2"/>
      </rPr>
      <t>≤</t>
    </r>
    <r>
      <rPr>
        <b/>
        <sz val="9.1"/>
        <rFont val="Arial"/>
        <family val="2"/>
      </rPr>
      <t>130</t>
    </r>
  </si>
  <si>
    <r>
      <t>&gt;130</t>
    </r>
    <r>
      <rPr>
        <b/>
        <sz val="9.1"/>
        <rFont val="Calibri"/>
        <family val="2"/>
      </rPr>
      <t>≤</t>
    </r>
    <r>
      <rPr>
        <b/>
        <sz val="9.1"/>
        <rFont val="Arial"/>
        <family val="2"/>
      </rPr>
      <t>160</t>
    </r>
  </si>
  <si>
    <t>&lt;160</t>
  </si>
  <si>
    <r>
      <rPr>
        <b/>
        <sz val="10"/>
        <rFont val="Verdana"/>
        <family val="2"/>
      </rPr>
      <t>A)</t>
    </r>
    <r>
      <rPr>
        <sz val="10"/>
        <rFont val="Verdana"/>
        <family val="2"/>
      </rPr>
      <t xml:space="preserve"> Interventi da realizzarsi con Programmi di Riqualificazione Urbana (PRU)</t>
    </r>
  </si>
  <si>
    <r>
      <rPr>
        <b/>
        <sz val="10"/>
        <rFont val="Verdana"/>
        <family val="2"/>
      </rPr>
      <t>B)</t>
    </r>
    <r>
      <rPr>
        <sz val="10"/>
        <rFont val="Verdana"/>
        <family val="2"/>
      </rPr>
      <t xml:space="preserve"> </t>
    </r>
    <r>
      <rPr>
        <b/>
        <sz val="10"/>
        <rFont val="Verdana"/>
        <family val="2"/>
      </rPr>
      <t>Interventi sul patrimonio esistente ai sensi dell'art. 7 ter della L.R. 20/2000</t>
    </r>
    <r>
      <rPr>
        <sz val="10"/>
        <rFont val="Verdana"/>
        <family val="2"/>
      </rPr>
      <t>, finalizzati al contestuale raggiungimento degli obiettivi di interesse pubblico in materia di significativo miglioramento dell'efficienza energetica degli edifici e/o realizzazione di interventi di miglioramento sismico degli edifici,</t>
    </r>
    <r>
      <rPr>
        <b/>
        <sz val="10"/>
        <rFont val="Verdana"/>
        <family val="2"/>
      </rPr>
      <t xml:space="preserve"> non finalizzati all'ottenimento di specifiche forme di premialità e/o deroghe</t>
    </r>
    <r>
      <rPr>
        <b/>
        <sz val="10"/>
        <color indexed="8"/>
        <rFont val="Verdana"/>
        <family val="2"/>
      </rPr>
      <t xml:space="preserve"> </t>
    </r>
    <r>
      <rPr>
        <sz val="10"/>
        <color indexed="8"/>
        <rFont val="Verdana"/>
        <family val="2"/>
      </rPr>
      <t>[art. 48, a</t>
    </r>
    <r>
      <rPr>
        <sz val="10"/>
        <rFont val="Verdana"/>
        <family val="2"/>
      </rPr>
      <t>rt. 51, 3° comma, lettere a2) e a3), art. 57, 3° comma, lettere a2) e a3), art. 67, 3° comma, lettere a2) e a3) del RUE],</t>
    </r>
  </si>
  <si>
    <r>
      <rPr>
        <b/>
        <sz val="10"/>
        <rFont val="Verdana"/>
        <family val="2"/>
      </rPr>
      <t xml:space="preserve">C) </t>
    </r>
    <r>
      <rPr>
        <sz val="10"/>
        <rFont val="Verdana"/>
        <family val="2"/>
      </rPr>
      <t>Interventi di riqualificazione urbana su aree definite, in attuazione del PSC, quali Ambiti da riqualificare (AR)</t>
    </r>
  </si>
  <si>
    <t>Mettere "x"  minuscola in caso di riduzione (flaggare altenativamente i punti B) e D)</t>
  </si>
  <si>
    <r>
      <rPr>
        <b/>
        <sz val="10"/>
        <rFont val="Verdana"/>
        <family val="2"/>
      </rPr>
      <t>D)Intervento di ADEGUAMENTO SISMICO</t>
    </r>
    <r>
      <rPr>
        <sz val="10"/>
        <rFont val="Verdana"/>
        <family val="2"/>
      </rPr>
      <t xml:space="preserve"> di edifici o </t>
    </r>
    <r>
      <rPr>
        <b/>
        <sz val="10"/>
        <rFont val="Verdana"/>
        <family val="2"/>
      </rPr>
      <t>“</t>
    </r>
    <r>
      <rPr>
        <sz val="10"/>
        <rFont val="Verdana"/>
        <family val="2"/>
      </rPr>
      <t>Nuova costruzione</t>
    </r>
    <r>
      <rPr>
        <b/>
        <sz val="10"/>
        <rFont val="Verdana"/>
        <family val="2"/>
      </rPr>
      <t>” (DR e RE “ricostruttiva”)</t>
    </r>
    <r>
      <rPr>
        <sz val="10"/>
        <rFont val="Verdana"/>
        <family val="2"/>
      </rPr>
      <t xml:space="preserve"> ai sensi del</t>
    </r>
    <r>
      <rPr>
        <b/>
        <sz val="10"/>
        <rFont val="Verdana"/>
        <family val="2"/>
      </rPr>
      <t xml:space="preserve"> 7-ter L.R. 20/2000</t>
    </r>
    <r>
      <rPr>
        <sz val="10"/>
        <rFont val="Verdana"/>
        <family val="2"/>
      </rPr>
      <t xml:space="preserve"> </t>
    </r>
    <r>
      <rPr>
        <sz val="10"/>
        <color indexed="8"/>
        <rFont val="Verdana"/>
        <family val="2"/>
      </rPr>
      <t>[art. 48, a</t>
    </r>
    <r>
      <rPr>
        <sz val="10"/>
        <rFont val="Verdana"/>
        <family val="2"/>
      </rPr>
      <t xml:space="preserve">rt. 51, 3° comma, lettere a2) e a3), art. 57, 3° comma, lettere a2) e a3), art. 67, 3° comma, lettere a2) e a3) del RUE], PRU, Ambiti da riqualificare. </t>
    </r>
  </si>
  <si>
    <r>
      <rPr>
        <b/>
        <sz val="10"/>
        <rFont val="Verdana"/>
        <family val="2"/>
      </rPr>
      <t>D) Intervento di ADEGUAMENTO SISMICO</t>
    </r>
    <r>
      <rPr>
        <sz val="10"/>
        <rFont val="Verdana"/>
        <family val="2"/>
      </rPr>
      <t xml:space="preserve"> di edifici o </t>
    </r>
    <r>
      <rPr>
        <b/>
        <sz val="10"/>
        <rFont val="Verdana"/>
        <family val="2"/>
      </rPr>
      <t>“</t>
    </r>
    <r>
      <rPr>
        <sz val="10"/>
        <rFont val="Verdana"/>
        <family val="2"/>
      </rPr>
      <t>Nuova costruzione</t>
    </r>
    <r>
      <rPr>
        <b/>
        <sz val="10"/>
        <rFont val="Verdana"/>
        <family val="2"/>
      </rPr>
      <t>” (DR e RE “ricostruttiva”)</t>
    </r>
    <r>
      <rPr>
        <sz val="10"/>
        <rFont val="Verdana"/>
        <family val="2"/>
      </rPr>
      <t xml:space="preserve"> ai sensi del</t>
    </r>
    <r>
      <rPr>
        <b/>
        <sz val="10"/>
        <rFont val="Verdana"/>
        <family val="2"/>
      </rPr>
      <t xml:space="preserve"> 7-ter L.R. 20/2000</t>
    </r>
    <r>
      <rPr>
        <sz val="10"/>
        <rFont val="Verdana"/>
        <family val="2"/>
      </rPr>
      <t xml:space="preserve"> </t>
    </r>
    <r>
      <rPr>
        <sz val="10"/>
        <color indexed="8"/>
        <rFont val="Verdana"/>
        <family val="2"/>
      </rPr>
      <t>[art. 48, a</t>
    </r>
    <r>
      <rPr>
        <sz val="10"/>
        <rFont val="Verdana"/>
        <family val="2"/>
      </rPr>
      <t xml:space="preserve">rt. 51, 3° comma, lettere a2) e a3), art. 57, 3° comma, lettere a2) e a3), art. 67, 3° comma, lettere a2) e a3) del RUE], PRU, Ambiti da riqualificare. </t>
    </r>
  </si>
  <si>
    <t>Interventi di ADEGUAMENTO SISMICO di edificio o “nuova costruzione” (DR e RE “ricostruttiva”) ai sensi del 7ter L.R. 20/2000 [art. 48, art. 51, 3° comma, lettere a2) e a3), art. 57, 3° comma, lettere a2) e a3), art. 67, 3° comma, lettere a2) e a3) del RUE], PRU, Ambiti da riqualificare.</t>
  </si>
  <si>
    <r>
      <t xml:space="preserve">0,5
</t>
    </r>
    <r>
      <rPr>
        <b/>
        <sz val="10"/>
        <rFont val="Arial"/>
        <family val="2"/>
      </rPr>
      <t>RIDUZIONE
ART. 5.5.4</t>
    </r>
  </si>
  <si>
    <r>
      <t xml:space="preserve">%
</t>
    </r>
    <r>
      <rPr>
        <b/>
        <sz val="10"/>
        <rFont val="Arial"/>
        <family val="2"/>
      </rPr>
      <t>RIDUZIONE
ART. 5.5.2</t>
    </r>
  </si>
  <si>
    <t>Interventi esterni al TU non si applicano le riduzioni dell'art. 5.3.12 (flaggare se interventi fuori dal TU e non oggetto di riduzione di cui art.5.3.12.)</t>
  </si>
  <si>
    <r>
      <t xml:space="preserve">Interventi esterni al TU  e di nuova costruzione su lotto libero </t>
    </r>
    <r>
      <rPr>
        <b/>
        <u val="single"/>
        <sz val="12"/>
        <rFont val="Arial"/>
        <family val="2"/>
      </rPr>
      <t>nessuna riduzione art. 5.3.12 (flaggare se interventi fuori del TU e non oggetto di riduzione di cui all'art.5.3.12.)</t>
    </r>
  </si>
  <si>
    <t>CONTRIBUTI D e S</t>
  </si>
  <si>
    <t xml:space="preserve">3 - CONTRIBUTI “D” E “S” </t>
  </si>
  <si>
    <r>
      <t>3.1.</t>
    </r>
    <r>
      <rPr>
        <sz val="10"/>
        <rFont val="Calibri"/>
        <family val="2"/>
      </rPr>
      <t xml:space="preserve"> I contributi per il trattamento e lo smaltimento dei rifiuti solidi, liquidi e gassosi “D” e per la sistemazione dei luoghi ove ne siano alterate le caratteristiche “S” sono definiti dall’art. 34, comma 1, della L.R. n. 15/2013 (in attuazione dell’art. 19 del D.P.R. n. 380/2001).</t>
    </r>
  </si>
  <si>
    <r>
      <t>3.2.</t>
    </r>
    <r>
      <rPr>
        <sz val="10"/>
        <rFont val="Calibri"/>
        <family val="2"/>
      </rPr>
      <t xml:space="preserve"> I contributi “D” ed “S” sono da corrispondere per gli interventi di ristrutturazione edilizia, di ristrutturazione urbanistica e di nuova costruzione aventi </t>
    </r>
    <r>
      <rPr>
        <b/>
        <sz val="10"/>
        <rFont val="Calibri"/>
        <family val="2"/>
      </rPr>
      <t>destinazione produttiva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o rurale se svolti da non aventi titolo</t>
    </r>
    <r>
      <rPr>
        <sz val="10"/>
        <rFont val="Calibri"/>
        <family val="2"/>
      </rPr>
      <t xml:space="preserve">. I contributi D ed S sono </t>
    </r>
    <r>
      <rPr>
        <b/>
        <sz val="10"/>
        <rFont val="Calibri"/>
        <family val="2"/>
      </rPr>
      <t>cumulabili</t>
    </r>
    <r>
      <rPr>
        <sz val="10"/>
        <rFont val="Calibri"/>
        <family val="2"/>
      </rPr>
      <t>.</t>
    </r>
  </si>
  <si>
    <r>
      <t>3.3.</t>
    </r>
    <r>
      <rPr>
        <sz val="10"/>
        <rFont val="Calibri"/>
        <family val="2"/>
      </rPr>
      <t xml:space="preserve"> L’unità di superficie per la determinazione di D ed S è la </t>
    </r>
    <r>
      <rPr>
        <b/>
        <sz val="10"/>
        <rFont val="Calibri"/>
        <family val="2"/>
      </rPr>
      <t>Superficie lorda</t>
    </r>
    <r>
      <rPr>
        <sz val="10"/>
        <rFont val="Calibri"/>
        <family val="2"/>
      </rPr>
      <t xml:space="preserve"> (SL).</t>
    </r>
  </si>
  <si>
    <t>Kd è il coefficiente di inquinamento connesso al tipo di attività, che assume i seguenti valori:</t>
  </si>
  <si>
    <r>
      <t>3.4.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“D”</t>
    </r>
    <r>
      <rPr>
        <sz val="10"/>
        <rFont val="Calibri"/>
        <family val="2"/>
      </rPr>
      <t xml:space="preserve"> è il contributo da corrispondere a titolo di disinquinamento ed è commisurato all’incidenza delle opere di urbanizzazione ed infrastrutture che il Comune deve realizzare o ha già realizzato. Il contributo “D” si calcola applicando la seguente formula</t>
    </r>
    <r>
      <rPr>
        <b/>
        <sz val="10"/>
        <rFont val="Calibri"/>
        <family val="2"/>
      </rPr>
      <t xml:space="preserve"> D= Td x Kd x SL</t>
    </r>
    <r>
      <rPr>
        <sz val="10"/>
        <rFont val="Calibri"/>
        <family val="2"/>
      </rPr>
      <t>, dove:</t>
    </r>
  </si>
  <si>
    <r>
      <t>3.5 “S”</t>
    </r>
    <r>
      <rPr>
        <sz val="10"/>
        <rFont val="Calibri"/>
        <family val="2"/>
      </rPr>
      <t xml:space="preserve"> è il contributo da corrispondere a titolo di sistemazione dei luoghi ove ne siano alterare le caratteristiche. Il contributo S si calcola applicando la seguente formula S= Ts x Ks x SL, dove:</t>
    </r>
  </si>
  <si>
    <t>Ks è il coefficiente di impatto connesso al tipo di intervento, che assume i seguenti valori:</t>
  </si>
  <si>
    <t>D = Td x Kd x SL</t>
  </si>
  <si>
    <t>S = Ts x Ks x SL</t>
  </si>
  <si>
    <t>Td=</t>
  </si>
  <si>
    <t>Kd=</t>
  </si>
  <si>
    <t>SL=</t>
  </si>
  <si>
    <t>D =</t>
  </si>
  <si>
    <t>Ts=</t>
  </si>
  <si>
    <t>Ks=</t>
  </si>
  <si>
    <t>S =</t>
  </si>
  <si>
    <t>COMMERCIALE AL DETTAGLIO E ARTIGIANALE DI SERVIZIO (casa e persona)</t>
  </si>
  <si>
    <t>PRODUTTIVA</t>
  </si>
  <si>
    <t>COMMERCIALE ALL'INGROSSO</t>
  </si>
  <si>
    <t>RURALE</t>
  </si>
  <si>
    <r>
      <t xml:space="preserve">QCC </t>
    </r>
    <r>
      <rPr>
        <b/>
        <sz val="10"/>
        <color indexed="8"/>
        <rFont val="Arial"/>
        <family val="2"/>
      </rPr>
      <t>(nuova costruzione)</t>
    </r>
  </si>
  <si>
    <t>CONTRIBUTO DI COSTRUZIONE (CDC)</t>
  </si>
  <si>
    <r>
      <t xml:space="preserve">QCC </t>
    </r>
    <r>
      <rPr>
        <b/>
        <sz val="10"/>
        <color indexed="8"/>
        <rFont val="Arial"/>
        <family val="2"/>
      </rPr>
      <t>(esistente)</t>
    </r>
  </si>
  <si>
    <t>TURISTICO RICETTIVO</t>
  </si>
  <si>
    <t>"A" convenzionale</t>
  </si>
  <si>
    <r>
      <t>QCC</t>
    </r>
    <r>
      <rPr>
        <b/>
        <sz val="10"/>
        <color indexed="8"/>
        <rFont val="Arial"/>
        <family val="2"/>
      </rPr>
      <t xml:space="preserve"> (nuova costruzione)</t>
    </r>
  </si>
  <si>
    <r>
      <rPr>
        <b/>
        <sz val="10"/>
        <color indexed="10"/>
        <rFont val="Calibri"/>
        <family val="2"/>
      </rPr>
      <t>Kd = 1,5</t>
    </r>
    <r>
      <rPr>
        <b/>
        <sz val="10"/>
        <rFont val="Calibri"/>
        <family val="2"/>
      </rPr>
      <t xml:space="preserve"> per attività industriali comprese nell’elenco di cui alla Parte I, lettera c, del D.M. 5 settembre 1994 “Elenco industrie insalubri di cui all’art. 216 del Testo Unico delle Leggi Sanitarie”,</t>
    </r>
  </si>
  <si>
    <r>
      <rPr>
        <b/>
        <sz val="10"/>
        <color indexed="10"/>
        <rFont val="Calibri"/>
        <family val="2"/>
      </rPr>
      <t>Kd = 1</t>
    </r>
    <r>
      <rPr>
        <b/>
        <sz val="10"/>
        <rFont val="Calibri"/>
        <family val="2"/>
      </rPr>
      <t xml:space="preserve"> per tutte le altre attività.</t>
    </r>
  </si>
  <si>
    <r>
      <rPr>
        <b/>
        <sz val="10"/>
        <color indexed="10"/>
        <rFont val="Calibri"/>
        <family val="2"/>
      </rPr>
      <t xml:space="preserve">Td </t>
    </r>
    <r>
      <rPr>
        <b/>
        <sz val="10"/>
        <rFont val="Calibri"/>
        <family val="2"/>
      </rPr>
      <t xml:space="preserve">è la tariffa base è quantificata pari a </t>
    </r>
    <r>
      <rPr>
        <b/>
        <sz val="10"/>
        <color indexed="10"/>
        <rFont val="Calibri"/>
        <family val="2"/>
      </rPr>
      <t>3,40 €</t>
    </r>
    <r>
      <rPr>
        <sz val="10"/>
        <rFont val="Calibri"/>
        <family val="2"/>
      </rPr>
      <t xml:space="preserve"> per mq di SL,</t>
    </r>
  </si>
  <si>
    <r>
      <rPr>
        <b/>
        <sz val="10"/>
        <color indexed="10"/>
        <rFont val="Calibri"/>
        <family val="2"/>
      </rPr>
      <t>Ts</t>
    </r>
    <r>
      <rPr>
        <b/>
        <sz val="10"/>
        <rFont val="Calibri"/>
        <family val="2"/>
      </rPr>
      <t xml:space="preserve"> è la tariffa base è quantificata pari a </t>
    </r>
    <r>
      <rPr>
        <b/>
        <sz val="10"/>
        <color indexed="10"/>
        <rFont val="Calibri"/>
        <family val="2"/>
      </rPr>
      <t>2,55 €</t>
    </r>
    <r>
      <rPr>
        <b/>
        <sz val="10"/>
        <rFont val="Calibri"/>
        <family val="2"/>
      </rPr>
      <t xml:space="preserve"> per mq di SL,</t>
    </r>
  </si>
  <si>
    <r>
      <rPr>
        <b/>
        <sz val="10"/>
        <color indexed="10"/>
        <rFont val="Calibri"/>
        <family val="2"/>
      </rPr>
      <t>Ks = 1,5</t>
    </r>
    <r>
      <rPr>
        <b/>
        <sz val="10"/>
        <rFont val="Calibri"/>
        <family val="2"/>
      </rPr>
      <t xml:space="preserve"> per tutti gli interventi che prevedono un incremento delle superfici impermeabilizzate del suolo rispetto allo stato di fatto o modifiche planivolumetriche del terreno,</t>
    </r>
  </si>
  <si>
    <r>
      <rPr>
        <b/>
        <sz val="10"/>
        <color indexed="10"/>
        <rFont val="Calibri"/>
        <family val="2"/>
      </rPr>
      <t>Ks = 0,5</t>
    </r>
    <r>
      <rPr>
        <b/>
        <sz val="10"/>
        <rFont val="Calibri"/>
        <family val="2"/>
      </rPr>
      <t xml:space="preserve"> per gli interventi che prevedono quote di desigillazione e riduzione della superficie impermeabile del suolo rispetto allo stato di fatto superiore al 20% della SF,</t>
    </r>
  </si>
  <si>
    <r>
      <rPr>
        <b/>
        <sz val="10"/>
        <color indexed="10"/>
        <rFont val="Calibri"/>
        <family val="2"/>
      </rPr>
      <t>Ks = 1</t>
    </r>
    <r>
      <rPr>
        <b/>
        <sz val="10"/>
        <rFont val="Calibri"/>
        <family val="2"/>
      </rPr>
      <t xml:space="preserve"> nei restanti casi.</t>
    </r>
  </si>
  <si>
    <t xml:space="preserve">D + S </t>
  </si>
  <si>
    <t>Unità Immobiliare N.1</t>
  </si>
  <si>
    <t>Superficie Residenziale</t>
  </si>
  <si>
    <t>Superficie non Residenziale</t>
  </si>
  <si>
    <t>Unità Immobiliare N.2</t>
  </si>
  <si>
    <t>Unità Immobiliare N.3</t>
  </si>
  <si>
    <t>Unità Immobiliare N.4</t>
  </si>
  <si>
    <t>Unità Immobiliare N.5</t>
  </si>
  <si>
    <t>Unità Immobiliare N.6</t>
  </si>
  <si>
    <t>Unità Immobiliare N.7</t>
  </si>
  <si>
    <t>Unità Immobiliare N.8</t>
  </si>
  <si>
    <t>Unità Immobiliare N.9</t>
  </si>
  <si>
    <t>Unità Immobiliare N.10</t>
  </si>
  <si>
    <t>Unità Immobiliare N.11</t>
  </si>
  <si>
    <t>Unità Immobiliare N.12</t>
  </si>
  <si>
    <t>Unità Immobiliare N.13</t>
  </si>
  <si>
    <t>Unità Immobiliare N.14</t>
  </si>
  <si>
    <t>Unità Immobiliare N.15</t>
  </si>
  <si>
    <t>Unità Immobiliare N.16</t>
  </si>
  <si>
    <t>Unità Immobiliare N.17</t>
  </si>
  <si>
    <t>Unità Immobiliare N.18</t>
  </si>
  <si>
    <t>Unità Immobiliare N.19</t>
  </si>
  <si>
    <t>Unità Immobiliare N.20</t>
  </si>
  <si>
    <t>mq.</t>
  </si>
  <si>
    <t>Sup. Abitabile</t>
  </si>
  <si>
    <t>A - &lt; 95</t>
  </si>
  <si>
    <t>B - da 95 a 110</t>
  </si>
  <si>
    <t>C - da 110 a 130</t>
  </si>
  <si>
    <t>D – da 130 a 160</t>
  </si>
  <si>
    <t>E - &gt;160</t>
  </si>
  <si>
    <t>Superficie non Residenziale -Parti Comuni</t>
  </si>
  <si>
    <t>Alloggi N.</t>
  </si>
  <si>
    <t>Costo di costruzione convenzionale "A" - Funzione turistica ricettiva</t>
  </si>
  <si>
    <t>Categoria D/2</t>
  </si>
  <si>
    <t>A=(Nc x o x Pc x 1000) / Sc x 0,475</t>
  </si>
  <si>
    <t>n.di camere</t>
  </si>
  <si>
    <t xml:space="preserve">Inserire il valore "A" della zona OMI luogo dell'intervento </t>
  </si>
  <si>
    <t>Zona OMI _____</t>
  </si>
  <si>
    <r>
      <t xml:space="preserve">Selezionare un valore di A </t>
    </r>
    <r>
      <rPr>
        <sz val="10"/>
        <rFont val="Arial"/>
        <family val="2"/>
      </rPr>
      <t>(Zona OMI luogo dell'intervento)</t>
    </r>
  </si>
  <si>
    <t>A = (Nc x o x Pc x 1000) / Sc x 0,475</t>
  </si>
  <si>
    <t>Nc = numero delle camere;</t>
  </si>
  <si>
    <t>o = tasso di occupazione media annua comunale fornito dal Servizio statistica regionale;</t>
  </si>
  <si>
    <t>Pc = € 55,00 prezzo medio di una camera</t>
  </si>
  <si>
    <t xml:space="preserve">SC = Superficie complessiva della struttura alberghiera; </t>
  </si>
  <si>
    <t>QCC = A x SU x 0,40 x P</t>
  </si>
  <si>
    <t xml:space="preserve">QCC = </t>
  </si>
  <si>
    <t>P(%)</t>
  </si>
  <si>
    <t>Determinazione QCC per porzioni d'intervento che determinano la trasformazione di superfici non residenziali in residenziali (es. chiusura logge-,garage in superficie residenziaole ecc.)</t>
  </si>
  <si>
    <t>o = 28,04%  tasso di occupazione media annua comunale fornito dal Servizio statistica regionale;</t>
  </si>
  <si>
    <t>3.10. All’interno del territorio urbanizzato, D e S sono ridotti in misura non inferiore al 35 per</t>
  </si>
  <si>
    <t>cento rispetto a quello previsto per le nuove costruzioni, per gli interventi di ristrutturazione</t>
  </si>
  <si>
    <t>urbanistica ed edilizia, addensamento o sostituzione urbana, e per interventi di recupero o riuso</t>
  </si>
  <si>
    <t>di immobili dismessi o in via di dismissione. Per i medesimi interventi i Comuni hanno la facoltà</t>
  </si>
  <si>
    <t>di deliberare ulteriori riduzioni, fino alla completa esenzione dallo stesso onere, anche in</t>
  </si>
  <si>
    <t>considerazione delle particolari caratteristiche delle opere da realizzare.</t>
  </si>
  <si>
    <t>– in relazione all'applicazione della norma transitoria di cui all'art. 4 della L.R. 24/2017</t>
  </si>
  <si>
    <t>per l'Attuazione degli strumenti urbanistici vigenti, in coerenza con gli art.li 7 e 8 della</t>
  </si>
  <si>
    <t>L.R. 24/2017 che persegue prioritariamente la rigenerazione urbana e la riduzione del</t>
  </si>
  <si>
    <t>consumo di suolo e in attuazione delle strategie individuate dal Piano Strutturale</t>
  </si>
  <si>
    <t>Comunale, approvato con delibera di C.C. n. 15/2016, si stabilisce, al solo fine</t>
  </si>
  <si>
    <t>dell’applicazione della riduzione minima del 35% di cui all'art. 8, 1° comma, lettera b)</t>
  </si>
  <si>
    <t>della L.R. 24/2017, di valutare tale riduzione minima, per i soli interventi di seguito</t>
  </si>
  <si>
    <t>elencati:</t>
  </si>
  <si>
    <t> Interventi da realizzarsi con Programmi di Riqualificazione Urbana (PRU),</t>
  </si>
  <si>
    <t> Interventi sul patrimonio esistente ai sensi dell'art. 7 ter della L.R. 20/2000,</t>
  </si>
  <si>
    <t>finalizzati al contestuale raggiungimento degli obiettivi di interesse pubblico in</t>
  </si>
  <si>
    <t>materia di significativo miglioramento dell'efficienza energetica degli edifici e/o</t>
  </si>
  <si>
    <t>realizzazione di interventi di miglioramento sismico degli edifici, non finalizzati</t>
  </si>
  <si>
    <t>all'ottenimento di specifiche forme di premialità e/o deroghe [art. 48, art. 51, 3°</t>
  </si>
  <si>
    <t>comma, lettere a2) e a3), art. 57, 3° comma, lettere a2) e a3), art. 67, 3° comma,</t>
  </si>
  <si>
    <t>lettere a2) e a3) del RUE],</t>
  </si>
  <si>
    <t> Interventi di riqualificazione urbana su aree definite, in attuazione del PSC, quali</t>
  </si>
  <si>
    <t>Ambiti da riqualificare (AR),</t>
  </si>
  <si>
    <t>- stabilire le seguenti ulteriori riduzioni del contributo di costruzione per i seguenti in-</t>
  </si>
  <si>
    <t>terventi:</t>
  </si>
  <si>
    <t>Descrizione intervento percentuali di riduzione Td e Ts</t>
  </si>
  <si>
    <t>Interventi di adeguamento sismico degli edifici o</t>
  </si>
  <si>
    <t>“nuova costruzione” (DR e RE “ricostruttiva”) ai</t>
  </si>
  <si>
    <t>sensi del 7ter L.R. 20/2000 [art. 48, art. 51, 3°</t>
  </si>
  <si>
    <t>comma, lettere a2) e a3), art. 57, 3° comma,</t>
  </si>
  <si>
    <t>lettere a2) e a3), art. 67, 3° comma, lettere a2) e</t>
  </si>
  <si>
    <t>a3) del RUE], PRU, Ambiti da riqualificare.</t>
  </si>
  <si>
    <t>RIDUZIONI ART.3.10</t>
  </si>
  <si>
    <t>D (-35%) =</t>
  </si>
  <si>
    <t>S (-35%) =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</si>
</sst>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&quot; €&quot;"/>
    <numFmt numFmtId="165" formatCode="&quot;VERO&quot;;&quot;VERO&quot;;&quot;FALSO&quot;"/>
    <numFmt numFmtId="166" formatCode="&quot;€ &quot;#,##0.00"/>
    <numFmt numFmtId="167" formatCode="#,##0.000"/>
    <numFmt numFmtId="168" formatCode="#,##0.0000"/>
    <numFmt numFmtId="169" formatCode="#,##0.00000"/>
    <numFmt numFmtId="170" formatCode="#,##0.000000"/>
    <numFmt numFmtId="171" formatCode="0.0%"/>
    <numFmt numFmtId="172" formatCode="0.000%"/>
    <numFmt numFmtId="173" formatCode="0.0000%"/>
    <numFmt numFmtId="174" formatCode="0.00000%"/>
    <numFmt numFmtId="175" formatCode="0.000000%"/>
    <numFmt numFmtId="176" formatCode="0.0000000%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  <numFmt numFmtId="181" formatCode="d&quot; &quot;mmmm&quot; &quot;yyyy"/>
    <numFmt numFmtId="182" formatCode="&quot;L. &quot;#,##0"/>
    <numFmt numFmtId="183" formatCode="0.000"/>
    <numFmt numFmtId="184" formatCode="#,##0.00&quot; €&quot;;&quot;-&quot;#,##0.00&quot; €&quot;"/>
    <numFmt numFmtId="185" formatCode="&quot; € &quot;#,##0.00&quot; &quot;;&quot;-€ &quot;#,##0.00&quot; &quot;;&quot; € -&quot;#&quot; &quot;;@&quot; &quot;"/>
    <numFmt numFmtId="186" formatCode="[$€-410]&quot; &quot;#,##0.00;[Red]&quot;-&quot;[$€-410]&quot; &quot;#,##0.00"/>
    <numFmt numFmtId="187" formatCode="0.00_ ;\-0.00\ "/>
    <numFmt numFmtId="188" formatCode="#,##0.00_ ;\-#,##0.00\ "/>
    <numFmt numFmtId="189" formatCode="0.00;[Red]0.00"/>
    <numFmt numFmtId="190" formatCode="&quot;€&quot;\ #,##0.00;[Red]&quot;€&quot;\ #,##0.00"/>
    <numFmt numFmtId="191" formatCode="&quot;€&quot;\ #,##0.00"/>
    <numFmt numFmtId="192" formatCode="#,##0.00\ [$€-1];[Red]\-#,##0.00\ [$€-1]"/>
    <numFmt numFmtId="193" formatCode="&quot; € &quot;#,##0.00\ ;&quot;-€ &quot;#,##0.00\ ;&quot; € -&quot;#\ ;@\ "/>
    <numFmt numFmtId="194" formatCode="#,###.00"/>
    <numFmt numFmtId="195" formatCode="d\ mmmm\ yyyy"/>
    <numFmt numFmtId="196" formatCode="#,##0.00&quot; €&quot;;\-#,##0.00&quot; €&quot;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Verdana"/>
      <family val="2"/>
    </font>
    <font>
      <b/>
      <sz val="18"/>
      <name val="Arial"/>
      <family val="2"/>
    </font>
    <font>
      <b/>
      <sz val="10"/>
      <name val="Verdana"/>
      <family val="2"/>
    </font>
    <font>
      <b/>
      <sz val="24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.1"/>
      <name val="Arial"/>
      <family val="2"/>
    </font>
    <font>
      <sz val="9.1"/>
      <name val="Arial"/>
      <family val="2"/>
    </font>
    <font>
      <sz val="11"/>
      <name val="Arial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1"/>
      <name val="Arial"/>
      <family val="2"/>
    </font>
    <font>
      <b/>
      <sz val="9.1"/>
      <name val="Calibri"/>
      <family val="2"/>
    </font>
    <font>
      <b/>
      <u val="single"/>
      <sz val="12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sz val="11"/>
      <color indexed="8"/>
      <name val="Arial1"/>
      <family val="0"/>
    </font>
    <font>
      <b/>
      <i/>
      <sz val="16"/>
      <color indexed="8"/>
      <name val="Arial1"/>
      <family val="0"/>
    </font>
    <font>
      <b/>
      <i/>
      <u val="single"/>
      <sz val="11"/>
      <color indexed="8"/>
      <name val="Arial1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 diagonalUp="1" diagonalDown="1"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 style="hair">
        <color indexed="8"/>
      </diagonal>
    </border>
    <border diagonalUp="1" diagonalDown="1">
      <left>
        <color indexed="63"/>
      </left>
      <right style="hair">
        <color indexed="8"/>
      </right>
      <top style="hair">
        <color indexed="8"/>
      </top>
      <bottom>
        <color indexed="63"/>
      </bottom>
      <diagonal style="hair">
        <color indexed="8"/>
      </diagonal>
    </border>
    <border diagonalUp="1" diagonalDown="1">
      <left style="hair">
        <color indexed="8"/>
      </left>
      <right>
        <color indexed="63"/>
      </right>
      <top>
        <color indexed="63"/>
      </top>
      <bottom>
        <color indexed="63"/>
      </bottom>
      <diagonal style="hair">
        <color indexed="8"/>
      </diagonal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hair">
        <color indexed="8"/>
      </diagonal>
    </border>
    <border diagonalUp="1" diagonalDown="1">
      <left>
        <color indexed="63"/>
      </left>
      <right style="hair">
        <color indexed="8"/>
      </right>
      <top>
        <color indexed="63"/>
      </top>
      <bottom>
        <color indexed="63"/>
      </bottom>
      <diagonal style="hair">
        <color indexed="8"/>
      </diagonal>
    </border>
    <border diagonalUp="1" diagonalDown="1">
      <left style="hair">
        <color indexed="8"/>
      </left>
      <right>
        <color indexed="63"/>
      </right>
      <top>
        <color indexed="63"/>
      </top>
      <bottom style="hair">
        <color indexed="8"/>
      </bottom>
      <diagonal style="hair">
        <color indexed="8"/>
      </diagonal>
    </border>
    <border diagonalUp="1" diagonalDown="1">
      <left>
        <color indexed="63"/>
      </left>
      <right>
        <color indexed="63"/>
      </right>
      <top>
        <color indexed="63"/>
      </top>
      <bottom style="hair">
        <color indexed="8"/>
      </bottom>
      <diagonal style="hair">
        <color indexed="8"/>
      </diagonal>
    </border>
    <border diagonalUp="1" diagonalDown="1">
      <left>
        <color indexed="63"/>
      </left>
      <right style="hair">
        <color indexed="8"/>
      </right>
      <top>
        <color indexed="63"/>
      </top>
      <bottom style="hair">
        <color indexed="8"/>
      </bottom>
      <diagonal style="hair">
        <color indexed="8"/>
      </diagonal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 diagonalUp="1" diagonalDown="1">
      <left style="hair">
        <color indexed="8"/>
      </left>
      <right style="medium">
        <color indexed="8"/>
      </right>
      <top>
        <color indexed="63"/>
      </top>
      <bottom style="medium">
        <color indexed="8"/>
      </bottom>
      <diagonal style="hair">
        <color indexed="8"/>
      </diagonal>
    </border>
    <border diagonalUp="1" diagonalDown="1"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  <diagonal style="hair">
        <color indexed="8"/>
      </diagonal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Alignment="0" applyProtection="0"/>
    <xf numFmtId="0" fontId="5" fillId="13" borderId="0" applyNumberFormat="0" applyAlignment="0" applyProtection="0"/>
    <xf numFmtId="0" fontId="48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185" fontId="49" fillId="0" borderId="0">
      <alignment/>
      <protection/>
    </xf>
    <xf numFmtId="193" fontId="0" fillId="0" borderId="0" applyFill="0" applyBorder="0" applyAlignment="0" applyProtection="0"/>
    <xf numFmtId="9" fontId="49" fillId="0" borderId="0">
      <alignment/>
      <protection/>
    </xf>
    <xf numFmtId="0" fontId="50" fillId="0" borderId="0">
      <alignment horizontal="center"/>
      <protection/>
    </xf>
    <xf numFmtId="0" fontId="50" fillId="0" borderId="0">
      <alignment horizontal="center" textRotation="90"/>
      <protection/>
    </xf>
    <xf numFmtId="0" fontId="6" fillId="3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10" borderId="0" applyNumberFormat="0" applyBorder="0" applyAlignment="0" applyProtection="0"/>
    <xf numFmtId="0" fontId="49" fillId="0" borderId="0">
      <alignment/>
      <protection/>
    </xf>
    <xf numFmtId="0" fontId="0" fillId="0" borderId="0">
      <alignment/>
      <protection/>
    </xf>
    <xf numFmtId="0" fontId="0" fillId="5" borderId="2" applyNumberFormat="0" applyAlignment="0" applyProtection="0"/>
    <xf numFmtId="0" fontId="8" fillId="9" borderId="3" applyNumberFormat="0" applyAlignment="0" applyProtection="0"/>
    <xf numFmtId="9" fontId="0" fillId="0" borderId="0" applyFill="0" applyBorder="0" applyAlignment="0" applyProtection="0"/>
    <xf numFmtId="0" fontId="51" fillId="0" borderId="0">
      <alignment/>
      <protection/>
    </xf>
    <xf numFmtId="186" fontId="51" fillId="0" borderId="0">
      <alignment/>
      <protection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7" borderId="0" applyNumberFormat="0" applyBorder="0" applyAlignment="0" applyProtection="0"/>
    <xf numFmtId="0" fontId="17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5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horizontal="right" vertical="top" wrapText="1"/>
      <protection/>
    </xf>
    <xf numFmtId="0" fontId="20" fillId="0" borderId="0" xfId="0" applyFont="1" applyAlignment="1" applyProtection="1">
      <alignment/>
      <protection/>
    </xf>
    <xf numFmtId="0" fontId="19" fillId="0" borderId="7" xfId="0" applyFont="1" applyFill="1" applyBorder="1" applyAlignment="1" applyProtection="1">
      <alignment horizontal="center" vertical="top" wrapText="1"/>
      <protection/>
    </xf>
    <xf numFmtId="0" fontId="21" fillId="0" borderId="8" xfId="0" applyFont="1" applyFill="1" applyBorder="1" applyAlignment="1" applyProtection="1">
      <alignment vertical="top" wrapText="1"/>
      <protection/>
    </xf>
    <xf numFmtId="2" fontId="19" fillId="18" borderId="9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Fill="1" applyBorder="1" applyAlignment="1" applyProtection="1">
      <alignment vertical="top" wrapText="1"/>
      <protection/>
    </xf>
    <xf numFmtId="2" fontId="19" fillId="18" borderId="1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2" xfId="0" applyFont="1" applyFill="1" applyBorder="1" applyAlignment="1" applyProtection="1">
      <alignment vertical="top" wrapText="1"/>
      <protection/>
    </xf>
    <xf numFmtId="2" fontId="19" fillId="18" borderId="13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vertical="top" wrapText="1"/>
      <protection/>
    </xf>
    <xf numFmtId="2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left" vertical="top" wrapText="1"/>
      <protection/>
    </xf>
    <xf numFmtId="2" fontId="19" fillId="18" borderId="7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left" vertical="top" wrapText="1"/>
      <protection/>
    </xf>
    <xf numFmtId="2" fontId="19" fillId="0" borderId="7" xfId="0" applyNumberFormat="1" applyFont="1" applyFill="1" applyBorder="1" applyAlignment="1" applyProtection="1">
      <alignment horizontal="center" vertical="top" wrapText="1"/>
      <protection/>
    </xf>
    <xf numFmtId="0" fontId="23" fillId="0" borderId="8" xfId="0" applyFont="1" applyFill="1" applyBorder="1" applyAlignment="1" applyProtection="1">
      <alignment vertical="top" wrapText="1"/>
      <protection/>
    </xf>
    <xf numFmtId="2" fontId="19" fillId="18" borderId="15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Fill="1" applyBorder="1" applyAlignment="1" applyProtection="1">
      <alignment vertical="top" wrapText="1"/>
      <protection/>
    </xf>
    <xf numFmtId="2" fontId="19" fillId="1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2" xfId="0" applyFont="1" applyFill="1" applyBorder="1" applyAlignment="1" applyProtection="1">
      <alignment vertical="top" wrapText="1"/>
      <protection/>
    </xf>
    <xf numFmtId="2" fontId="19" fillId="18" borderId="17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vertical="top" wrapText="1"/>
      <protection/>
    </xf>
    <xf numFmtId="2" fontId="19" fillId="0" borderId="0" xfId="0" applyNumberFormat="1" applyFont="1" applyFill="1" applyBorder="1" applyAlignment="1" applyProtection="1">
      <alignment horizontal="center" vertical="top" wrapText="1"/>
      <protection/>
    </xf>
    <xf numFmtId="0" fontId="23" fillId="0" borderId="18" xfId="0" applyFont="1" applyFill="1" applyBorder="1" applyAlignment="1" applyProtection="1">
      <alignment vertical="top" wrapText="1"/>
      <protection/>
    </xf>
    <xf numFmtId="2" fontId="19" fillId="0" borderId="19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ill="1" applyAlignment="1" applyProtection="1">
      <alignment/>
      <protection/>
    </xf>
    <xf numFmtId="0" fontId="21" fillId="0" borderId="7" xfId="0" applyFont="1" applyFill="1" applyBorder="1" applyAlignment="1" applyProtection="1">
      <alignment horizontal="justify" vertical="top" wrapText="1"/>
      <protection/>
    </xf>
    <xf numFmtId="2" fontId="19" fillId="0" borderId="0" xfId="0" applyNumberFormat="1" applyFont="1" applyFill="1" applyBorder="1" applyAlignment="1" applyProtection="1">
      <alignment horizontal="right" vertical="center" wrapText="1"/>
      <protection/>
    </xf>
    <xf numFmtId="0" fontId="23" fillId="0" borderId="20" xfId="0" applyFont="1" applyFill="1" applyBorder="1" applyAlignment="1" applyProtection="1">
      <alignment vertical="top" wrapText="1"/>
      <protection/>
    </xf>
    <xf numFmtId="0" fontId="24" fillId="0" borderId="7" xfId="0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21" fillId="0" borderId="8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right" vertical="top" wrapText="1"/>
      <protection/>
    </xf>
    <xf numFmtId="2" fontId="19" fillId="0" borderId="0" xfId="0" applyNumberFormat="1" applyFont="1" applyFill="1" applyBorder="1" applyAlignment="1" applyProtection="1">
      <alignment horizontal="right" vertical="top" wrapText="1"/>
      <protection/>
    </xf>
    <xf numFmtId="0" fontId="23" fillId="0" borderId="21" xfId="0" applyFont="1" applyFill="1" applyBorder="1" applyAlignment="1" applyProtection="1">
      <alignment vertical="top" wrapText="1"/>
      <protection/>
    </xf>
    <xf numFmtId="0" fontId="19" fillId="0" borderId="0" xfId="0" applyFont="1" applyFill="1" applyBorder="1" applyAlignment="1" applyProtection="1">
      <alignment horizontal="center" vertical="top" wrapText="1"/>
      <protection/>
    </xf>
    <xf numFmtId="0" fontId="21" fillId="0" borderId="14" xfId="0" applyFont="1" applyFill="1" applyBorder="1" applyAlignment="1" applyProtection="1">
      <alignment horizontal="justify" vertical="top" wrapText="1"/>
      <protection/>
    </xf>
    <xf numFmtId="2" fontId="19" fillId="18" borderId="8" xfId="0" applyNumberFormat="1" applyFont="1" applyFill="1" applyBorder="1" applyAlignment="1" applyProtection="1">
      <alignment horizontal="center" vertical="center" wrapText="1"/>
      <protection locked="0"/>
    </xf>
    <xf numFmtId="2" fontId="19" fillId="18" borderId="10" xfId="0" applyNumberFormat="1" applyFont="1" applyFill="1" applyBorder="1" applyAlignment="1" applyProtection="1">
      <alignment horizontal="center" vertical="center" wrapText="1"/>
      <protection locked="0"/>
    </xf>
    <xf numFmtId="2" fontId="19" fillId="18" borderId="12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7" xfId="0" applyFont="1" applyBorder="1" applyAlignment="1" applyProtection="1">
      <alignment horizontal="center" vertical="top" wrapText="1"/>
      <protection/>
    </xf>
    <xf numFmtId="2" fontId="25" fillId="18" borderId="7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/>
      <protection/>
    </xf>
    <xf numFmtId="0" fontId="27" fillId="0" borderId="0" xfId="0" applyFont="1" applyBorder="1" applyAlignment="1" applyProtection="1">
      <alignment horizontal="center" wrapText="1"/>
      <protection/>
    </xf>
    <xf numFmtId="49" fontId="27" fillId="0" borderId="0" xfId="0" applyNumberFormat="1" applyFont="1" applyBorder="1" applyAlignment="1" applyProtection="1">
      <alignment horizontal="center" wrapText="1"/>
      <protection/>
    </xf>
    <xf numFmtId="0" fontId="27" fillId="0" borderId="0" xfId="0" applyFont="1" applyBorder="1" applyAlignment="1" applyProtection="1">
      <alignment horizontal="center"/>
      <protection/>
    </xf>
    <xf numFmtId="0" fontId="27" fillId="0" borderId="22" xfId="0" applyFont="1" applyBorder="1" applyAlignment="1" applyProtection="1">
      <alignment horizontal="center" vertical="center" wrapText="1"/>
      <protection/>
    </xf>
    <xf numFmtId="49" fontId="30" fillId="0" borderId="7" xfId="0" applyNumberFormat="1" applyFont="1" applyBorder="1" applyAlignment="1" applyProtection="1">
      <alignment horizontal="center"/>
      <protection/>
    </xf>
    <xf numFmtId="0" fontId="31" fillId="0" borderId="0" xfId="0" applyFont="1" applyFill="1" applyBorder="1" applyAlignment="1" applyProtection="1">
      <alignment horizontal="center" vertical="center" wrapText="1"/>
      <protection/>
    </xf>
    <xf numFmtId="2" fontId="31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Alignment="1" applyProtection="1">
      <alignment horizontal="center"/>
      <protection/>
    </xf>
    <xf numFmtId="2" fontId="19" fillId="0" borderId="7" xfId="0" applyNumberFormat="1" applyFont="1" applyFill="1" applyBorder="1" applyAlignment="1" applyProtection="1">
      <alignment horizontal="center" vertical="center" wrapText="1"/>
      <protection/>
    </xf>
    <xf numFmtId="2" fontId="2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wrapText="1"/>
      <protection/>
    </xf>
    <xf numFmtId="2" fontId="0" fillId="0" borderId="7" xfId="0" applyNumberFormat="1" applyFont="1" applyBorder="1" applyAlignment="1" applyProtection="1">
      <alignment horizontal="center" vertical="center"/>
      <protection/>
    </xf>
    <xf numFmtId="2" fontId="0" fillId="0" borderId="0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18" borderId="7" xfId="0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/>
      <protection/>
    </xf>
    <xf numFmtId="0" fontId="0" fillId="0" borderId="10" xfId="0" applyBorder="1" applyAlignment="1" applyProtection="1">
      <alignment horizontal="center" vertical="center"/>
      <protection/>
    </xf>
    <xf numFmtId="2" fontId="0" fillId="0" borderId="24" xfId="0" applyNumberFormat="1" applyBorder="1" applyAlignment="1" applyProtection="1">
      <alignment horizontal="center" vertical="center"/>
      <protection/>
    </xf>
    <xf numFmtId="10" fontId="0" fillId="0" borderId="25" xfId="0" applyNumberFormat="1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2" fontId="25" fillId="0" borderId="0" xfId="0" applyNumberFormat="1" applyFont="1" applyBorder="1" applyAlignment="1" applyProtection="1">
      <alignment horizontal="center"/>
      <protection/>
    </xf>
    <xf numFmtId="2" fontId="0" fillId="0" borderId="27" xfId="0" applyNumberFormat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2" fontId="0" fillId="0" borderId="0" xfId="0" applyNumberFormat="1" applyFont="1" applyFill="1" applyBorder="1" applyAlignment="1" applyProtection="1">
      <alignment horizontal="center" vertical="center"/>
      <protection/>
    </xf>
    <xf numFmtId="9" fontId="0" fillId="18" borderId="28" xfId="0" applyNumberFormat="1" applyFill="1" applyBorder="1" applyAlignment="1" applyProtection="1">
      <alignment horizontal="center" vertical="center" wrapText="1"/>
      <protection locked="0"/>
    </xf>
    <xf numFmtId="9" fontId="0" fillId="18" borderId="29" xfId="0" applyNumberFormat="1" applyFill="1" applyBorder="1" applyAlignment="1" applyProtection="1">
      <alignment horizontal="center" vertical="center" wrapText="1"/>
      <protection locked="0"/>
    </xf>
    <xf numFmtId="9" fontId="0" fillId="18" borderId="30" xfId="0" applyNumberFormat="1" applyFill="1" applyBorder="1" applyAlignment="1" applyProtection="1">
      <alignment horizontal="center" vertical="center" wrapText="1"/>
      <protection locked="0"/>
    </xf>
    <xf numFmtId="10" fontId="0" fillId="0" borderId="31" xfId="0" applyNumberFormat="1" applyFill="1" applyBorder="1" applyAlignment="1" applyProtection="1">
      <alignment horizontal="center" vertical="center" wrapText="1"/>
      <protection/>
    </xf>
    <xf numFmtId="10" fontId="0" fillId="0" borderId="32" xfId="0" applyNumberFormat="1" applyFill="1" applyBorder="1" applyAlignment="1" applyProtection="1">
      <alignment horizontal="center" vertical="center" wrapText="1"/>
      <protection/>
    </xf>
    <xf numFmtId="2" fontId="27" fillId="18" borderId="12" xfId="0" applyNumberFormat="1" applyFont="1" applyFill="1" applyBorder="1" applyAlignment="1" applyProtection="1">
      <alignment horizontal="center" vertical="center"/>
      <protection locked="0"/>
    </xf>
    <xf numFmtId="2" fontId="27" fillId="0" borderId="0" xfId="0" applyNumberFormat="1" applyFont="1" applyFill="1" applyBorder="1" applyAlignment="1" applyProtection="1">
      <alignment horizontal="center" vertical="center"/>
      <protection/>
    </xf>
    <xf numFmtId="2" fontId="0" fillId="0" borderId="33" xfId="0" applyNumberFormat="1" applyFont="1" applyBorder="1" applyAlignment="1" applyProtection="1">
      <alignment horizontal="center" vertical="center"/>
      <protection/>
    </xf>
    <xf numFmtId="0" fontId="0" fillId="0" borderId="7" xfId="0" applyFont="1" applyFill="1" applyBorder="1" applyAlignment="1" applyProtection="1">
      <alignment horizontal="center" vertical="center" wrapText="1"/>
      <protection/>
    </xf>
    <xf numFmtId="2" fontId="19" fillId="18" borderId="33" xfId="0" applyNumberFormat="1" applyFont="1" applyFill="1" applyBorder="1" applyAlignment="1" applyProtection="1">
      <alignment horizontal="center" vertical="center"/>
      <protection locked="0"/>
    </xf>
    <xf numFmtId="2" fontId="19" fillId="0" borderId="0" xfId="0" applyNumberFormat="1" applyFont="1" applyFill="1" applyBorder="1" applyAlignment="1" applyProtection="1">
      <alignment horizontal="center" vertical="center"/>
      <protection/>
    </xf>
    <xf numFmtId="2" fontId="19" fillId="18" borderId="12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horizontal="left"/>
      <protection/>
    </xf>
    <xf numFmtId="49" fontId="0" fillId="19" borderId="34" xfId="0" applyNumberFormat="1" applyFont="1" applyFill="1" applyBorder="1" applyAlignment="1" applyProtection="1">
      <alignment horizontal="center" vertical="center" wrapText="1"/>
      <protection/>
    </xf>
    <xf numFmtId="0" fontId="0" fillId="19" borderId="35" xfId="0" applyFill="1" applyBorder="1" applyAlignment="1" applyProtection="1">
      <alignment/>
      <protection/>
    </xf>
    <xf numFmtId="0" fontId="0" fillId="19" borderId="36" xfId="0" applyFill="1" applyBorder="1" applyAlignment="1" applyProtection="1">
      <alignment/>
      <protection/>
    </xf>
    <xf numFmtId="0" fontId="0" fillId="19" borderId="37" xfId="0" applyFill="1" applyBorder="1" applyAlignment="1" applyProtection="1">
      <alignment/>
      <protection/>
    </xf>
    <xf numFmtId="2" fontId="27" fillId="19" borderId="37" xfId="0" applyNumberFormat="1" applyFont="1" applyFill="1" applyBorder="1" applyAlignment="1" applyProtection="1">
      <alignment horizontal="center"/>
      <protection/>
    </xf>
    <xf numFmtId="0" fontId="27" fillId="19" borderId="38" xfId="0" applyFont="1" applyFill="1" applyBorder="1" applyAlignment="1" applyProtection="1">
      <alignment horizontal="left"/>
      <protection/>
    </xf>
    <xf numFmtId="0" fontId="0" fillId="19" borderId="39" xfId="0" applyFill="1" applyBorder="1" applyAlignment="1" applyProtection="1">
      <alignment/>
      <protection/>
    </xf>
    <xf numFmtId="0" fontId="0" fillId="19" borderId="40" xfId="0" applyFill="1" applyBorder="1" applyAlignment="1" applyProtection="1">
      <alignment/>
      <protection/>
    </xf>
    <xf numFmtId="2" fontId="27" fillId="19" borderId="40" xfId="0" applyNumberFormat="1" applyFont="1" applyFill="1" applyBorder="1" applyAlignment="1" applyProtection="1">
      <alignment horizontal="center"/>
      <protection/>
    </xf>
    <xf numFmtId="0" fontId="27" fillId="19" borderId="41" xfId="0" applyFont="1" applyFill="1" applyBorder="1" applyAlignment="1" applyProtection="1">
      <alignment horizontal="left"/>
      <protection/>
    </xf>
    <xf numFmtId="49" fontId="27" fillId="0" borderId="7" xfId="0" applyNumberFormat="1" applyFont="1" applyFill="1" applyBorder="1" applyAlignment="1" applyProtection="1">
      <alignment horizontal="center" vertical="center" wrapText="1"/>
      <protection/>
    </xf>
    <xf numFmtId="49" fontId="0" fillId="0" borderId="7" xfId="0" applyNumberFormat="1" applyFont="1" applyFill="1" applyBorder="1" applyAlignment="1" applyProtection="1">
      <alignment horizontal="center" wrapText="1"/>
      <protection/>
    </xf>
    <xf numFmtId="49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/>
      <protection/>
    </xf>
    <xf numFmtId="0" fontId="0" fillId="0" borderId="43" xfId="0" applyFill="1" applyBorder="1" applyAlignment="1" applyProtection="1">
      <alignment/>
      <protection/>
    </xf>
    <xf numFmtId="0" fontId="0" fillId="18" borderId="44" xfId="0" applyFill="1" applyBorder="1" applyAlignment="1" applyProtection="1">
      <alignment horizontal="center"/>
      <protection locked="0"/>
    </xf>
    <xf numFmtId="0" fontId="0" fillId="0" borderId="44" xfId="0" applyNumberFormat="1" applyFill="1" applyBorder="1" applyAlignment="1" applyProtection="1">
      <alignment horizontal="center"/>
      <protection/>
    </xf>
    <xf numFmtId="0" fontId="0" fillId="0" borderId="44" xfId="0" applyFill="1" applyBorder="1" applyAlignment="1" applyProtection="1">
      <alignment horizontal="center"/>
      <protection/>
    </xf>
    <xf numFmtId="2" fontId="0" fillId="0" borderId="44" xfId="0" applyNumberFormat="1" applyFill="1" applyBorder="1" applyAlignment="1" applyProtection="1">
      <alignment horizontal="center"/>
      <protection/>
    </xf>
    <xf numFmtId="2" fontId="27" fillId="0" borderId="44" xfId="0" applyNumberFormat="1" applyFont="1" applyFill="1" applyBorder="1" applyAlignment="1" applyProtection="1">
      <alignment horizontal="center"/>
      <protection/>
    </xf>
    <xf numFmtId="0" fontId="27" fillId="0" borderId="44" xfId="0" applyFont="1" applyFill="1" applyBorder="1" applyAlignment="1" applyProtection="1">
      <alignment horizontal="left"/>
      <protection/>
    </xf>
    <xf numFmtId="0" fontId="0" fillId="0" borderId="14" xfId="0" applyFill="1" applyBorder="1" applyAlignment="1" applyProtection="1">
      <alignment horizontal="center"/>
      <protection/>
    </xf>
    <xf numFmtId="0" fontId="0" fillId="0" borderId="14" xfId="0" applyNumberFormat="1" applyFill="1" applyBorder="1" applyAlignment="1" applyProtection="1">
      <alignment horizontal="center"/>
      <protection/>
    </xf>
    <xf numFmtId="2" fontId="0" fillId="0" borderId="14" xfId="0" applyNumberFormat="1" applyFill="1" applyBorder="1" applyAlignment="1" applyProtection="1">
      <alignment horizontal="center"/>
      <protection/>
    </xf>
    <xf numFmtId="2" fontId="27" fillId="0" borderId="14" xfId="0" applyNumberFormat="1" applyFont="1" applyFill="1" applyBorder="1" applyAlignment="1" applyProtection="1">
      <alignment horizontal="center"/>
      <protection/>
    </xf>
    <xf numFmtId="0" fontId="27" fillId="0" borderId="14" xfId="0" applyFont="1" applyFill="1" applyBorder="1" applyAlignment="1" applyProtection="1">
      <alignment horizontal="left"/>
      <protection/>
    </xf>
    <xf numFmtId="10" fontId="0" fillId="0" borderId="45" xfId="0" applyNumberFormat="1" applyFill="1" applyBorder="1" applyAlignment="1" applyProtection="1">
      <alignment horizontal="center" vertical="center"/>
      <protection/>
    </xf>
    <xf numFmtId="0" fontId="2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46" xfId="0" applyNumberFormat="1" applyBorder="1" applyAlignment="1">
      <alignment vertical="top" wrapText="1"/>
    </xf>
    <xf numFmtId="0" fontId="0" fillId="0" borderId="47" xfId="0" applyNumberFormat="1" applyBorder="1" applyAlignment="1">
      <alignment vertical="top" wrapText="1"/>
    </xf>
    <xf numFmtId="0" fontId="0" fillId="0" borderId="48" xfId="0" applyNumberFormat="1" applyBorder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2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47" xfId="0" applyNumberFormat="1" applyBorder="1" applyAlignment="1">
      <alignment horizontal="center" vertical="top" wrapText="1"/>
    </xf>
    <xf numFmtId="0" fontId="0" fillId="0" borderId="42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48" fillId="0" borderId="18" xfId="36" applyNumberFormat="1" applyBorder="1" applyAlignment="1" quotePrefix="1">
      <alignment horizontal="center" vertical="top" wrapText="1"/>
    </xf>
    <xf numFmtId="0" fontId="0" fillId="0" borderId="49" xfId="0" applyNumberFormat="1" applyBorder="1" applyAlignment="1">
      <alignment horizontal="center" vertical="top" wrapText="1"/>
    </xf>
    <xf numFmtId="2" fontId="19" fillId="0" borderId="43" xfId="0" applyNumberFormat="1" applyFont="1" applyFill="1" applyBorder="1" applyAlignment="1" applyProtection="1">
      <alignment horizontal="center" vertical="top" wrapText="1"/>
      <protection/>
    </xf>
    <xf numFmtId="2" fontId="19" fillId="18" borderId="50" xfId="0" applyNumberFormat="1" applyFont="1" applyFill="1" applyBorder="1" applyAlignment="1" applyProtection="1">
      <alignment horizontal="center" vertical="center" wrapText="1"/>
      <protection locked="0"/>
    </xf>
    <xf numFmtId="2" fontId="19" fillId="18" borderId="20" xfId="0" applyNumberFormat="1" applyFont="1" applyFill="1" applyBorder="1" applyAlignment="1" applyProtection="1">
      <alignment horizontal="center" vertical="center" wrapText="1"/>
      <protection locked="0"/>
    </xf>
    <xf numFmtId="2" fontId="19" fillId="0" borderId="46" xfId="0" applyNumberFormat="1" applyFont="1" applyFill="1" applyBorder="1" applyAlignment="1" applyProtection="1">
      <alignment horizontal="center" vertical="top" wrapText="1"/>
      <protection/>
    </xf>
    <xf numFmtId="0" fontId="23" fillId="0" borderId="24" xfId="0" applyFont="1" applyFill="1" applyBorder="1" applyAlignment="1" applyProtection="1">
      <alignment vertical="top" wrapText="1"/>
      <protection/>
    </xf>
    <xf numFmtId="0" fontId="21" fillId="0" borderId="7" xfId="0" applyFont="1" applyFill="1" applyBorder="1" applyAlignment="1" applyProtection="1">
      <alignment horizontal="justify" vertical="center" wrapText="1"/>
      <protection/>
    </xf>
    <xf numFmtId="2" fontId="19" fillId="18" borderId="5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2" xfId="0" applyFont="1" applyBorder="1" applyAlignment="1" applyProtection="1">
      <alignment/>
      <protection/>
    </xf>
    <xf numFmtId="0" fontId="27" fillId="0" borderId="52" xfId="0" applyFont="1" applyBorder="1" applyAlignment="1" applyProtection="1">
      <alignment/>
      <protection/>
    </xf>
    <xf numFmtId="0" fontId="27" fillId="0" borderId="52" xfId="0" applyFont="1" applyBorder="1" applyAlignment="1" applyProtection="1">
      <alignment wrapText="1"/>
      <protection/>
    </xf>
    <xf numFmtId="2" fontId="0" fillId="0" borderId="52" xfId="0" applyNumberFormat="1" applyBorder="1" applyAlignment="1" applyProtection="1">
      <alignment vertical="center"/>
      <protection/>
    </xf>
    <xf numFmtId="0" fontId="21" fillId="0" borderId="15" xfId="0" applyFont="1" applyFill="1" applyBorder="1" applyAlignment="1" applyProtection="1">
      <alignment horizontal="justify" vertical="top" wrapText="1"/>
      <protection/>
    </xf>
    <xf numFmtId="0" fontId="21" fillId="0" borderId="17" xfId="0" applyFont="1" applyFill="1" applyBorder="1" applyAlignment="1" applyProtection="1">
      <alignment horizontal="justify" vertical="top" wrapText="1"/>
      <protection/>
    </xf>
    <xf numFmtId="2" fontId="19" fillId="20" borderId="5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26" fillId="0" borderId="33" xfId="0" applyFont="1" applyFill="1" applyBorder="1" applyAlignment="1" applyProtection="1">
      <alignment horizontal="center" vertical="center"/>
      <protection/>
    </xf>
    <xf numFmtId="0" fontId="0" fillId="0" borderId="54" xfId="0" applyFont="1" applyBorder="1" applyAlignment="1" applyProtection="1">
      <alignment horizontal="center" vertical="center" wrapText="1"/>
      <protection/>
    </xf>
    <xf numFmtId="0" fontId="27" fillId="18" borderId="7" xfId="0" applyFont="1" applyFill="1" applyBorder="1" applyAlignment="1" applyProtection="1">
      <alignment horizontal="center" vertical="center" wrapText="1"/>
      <protection locked="0"/>
    </xf>
    <xf numFmtId="2" fontId="19" fillId="21" borderId="7" xfId="0" applyNumberFormat="1" applyFont="1" applyFill="1" applyBorder="1" applyAlignment="1" applyProtection="1">
      <alignment horizontal="center" vertical="center" wrapText="1"/>
      <protection locked="0"/>
    </xf>
    <xf numFmtId="2" fontId="22" fillId="18" borderId="7" xfId="0" applyNumberFormat="1" applyFont="1" applyFill="1" applyBorder="1" applyAlignment="1" applyProtection="1">
      <alignment horizontal="center" vertical="center" wrapText="1"/>
      <protection locked="0"/>
    </xf>
    <xf numFmtId="0" fontId="18" fillId="22" borderId="43" xfId="0" applyFont="1" applyFill="1" applyBorder="1" applyAlignment="1" applyProtection="1">
      <alignment vertical="top" wrapText="1"/>
      <protection/>
    </xf>
    <xf numFmtId="0" fontId="18" fillId="22" borderId="7" xfId="0" applyFont="1" applyFill="1" applyBorder="1" applyAlignment="1" applyProtection="1">
      <alignment horizontal="center" vertical="top" wrapText="1"/>
      <protection/>
    </xf>
    <xf numFmtId="0" fontId="26" fillId="22" borderId="55" xfId="0" applyFont="1" applyFill="1" applyBorder="1" applyAlignment="1" applyProtection="1">
      <alignment vertical="center"/>
      <protection/>
    </xf>
    <xf numFmtId="0" fontId="26" fillId="22" borderId="50" xfId="0" applyFont="1" applyFill="1" applyBorder="1" applyAlignment="1" applyProtection="1">
      <alignment vertical="center"/>
      <protection/>
    </xf>
    <xf numFmtId="0" fontId="0" fillId="23" borderId="0" xfId="0" applyFill="1" applyAlignment="1" applyProtection="1">
      <alignment/>
      <protection/>
    </xf>
    <xf numFmtId="0" fontId="27" fillId="0" borderId="0" xfId="0" applyFont="1" applyAlignment="1" applyProtection="1">
      <alignment horizontal="center" vertical="center"/>
      <protection/>
    </xf>
    <xf numFmtId="2" fontId="19" fillId="23" borderId="21" xfId="0" applyNumberFormat="1" applyFont="1" applyFill="1" applyBorder="1" applyAlignment="1" applyProtection="1">
      <alignment horizontal="center" vertical="center" wrapText="1"/>
      <protection/>
    </xf>
    <xf numFmtId="0" fontId="23" fillId="0" borderId="56" xfId="0" applyFont="1" applyFill="1" applyBorder="1" applyAlignment="1" applyProtection="1">
      <alignment vertical="top" wrapText="1"/>
      <protection/>
    </xf>
    <xf numFmtId="2" fontId="19" fillId="0" borderId="57" xfId="0" applyNumberFormat="1" applyFont="1" applyFill="1" applyBorder="1" applyAlignment="1" applyProtection="1">
      <alignment horizontal="center" vertical="center" wrapText="1"/>
      <protection/>
    </xf>
    <xf numFmtId="0" fontId="23" fillId="0" borderId="58" xfId="0" applyFont="1" applyFill="1" applyBorder="1" applyAlignment="1" applyProtection="1">
      <alignment vertical="top" wrapText="1"/>
      <protection/>
    </xf>
    <xf numFmtId="2" fontId="1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6" xfId="0" applyFont="1" applyFill="1" applyBorder="1" applyAlignment="1" applyProtection="1">
      <alignment vertical="top" wrapText="1"/>
      <protection/>
    </xf>
    <xf numFmtId="49" fontId="27" fillId="19" borderId="59" xfId="0" applyNumberFormat="1" applyFont="1" applyFill="1" applyBorder="1" applyAlignment="1" applyProtection="1">
      <alignment horizontal="center" vertical="center" wrapText="1"/>
      <protection/>
    </xf>
    <xf numFmtId="49" fontId="0" fillId="19" borderId="60" xfId="0" applyNumberFormat="1" applyFont="1" applyFill="1" applyBorder="1" applyAlignment="1" applyProtection="1">
      <alignment horizontal="center" wrapText="1"/>
      <protection/>
    </xf>
    <xf numFmtId="0" fontId="19" fillId="25" borderId="52" xfId="0" applyFont="1" applyFill="1" applyBorder="1" applyAlignment="1" applyProtection="1">
      <alignment/>
      <protection/>
    </xf>
    <xf numFmtId="0" fontId="27" fillId="25" borderId="52" xfId="0" applyFont="1" applyFill="1" applyBorder="1" applyAlignment="1" applyProtection="1">
      <alignment/>
      <protection/>
    </xf>
    <xf numFmtId="0" fontId="27" fillId="25" borderId="52" xfId="0" applyFont="1" applyFill="1" applyBorder="1" applyAlignment="1" applyProtection="1">
      <alignment wrapText="1"/>
      <protection/>
    </xf>
    <xf numFmtId="0" fontId="23" fillId="0" borderId="8" xfId="0" applyFont="1" applyFill="1" applyBorder="1" applyAlignment="1" applyProtection="1">
      <alignment vertical="top" wrapText="1"/>
      <protection locked="0"/>
    </xf>
    <xf numFmtId="0" fontId="23" fillId="0" borderId="10" xfId="0" applyFont="1" applyFill="1" applyBorder="1" applyAlignment="1" applyProtection="1">
      <alignment vertical="top" wrapText="1"/>
      <protection locked="0"/>
    </xf>
    <xf numFmtId="0" fontId="23" fillId="0" borderId="20" xfId="0" applyFont="1" applyFill="1" applyBorder="1" applyAlignment="1" applyProtection="1">
      <alignment vertical="top" wrapText="1"/>
      <protection locked="0"/>
    </xf>
    <xf numFmtId="2" fontId="22" fillId="0" borderId="7" xfId="0" applyNumberFormat="1" applyFont="1" applyFill="1" applyBorder="1" applyAlignment="1" applyProtection="1">
      <alignment horizontal="center" vertical="center" wrapText="1"/>
      <protection hidden="1"/>
    </xf>
    <xf numFmtId="2" fontId="22" fillId="0" borderId="0" xfId="0" applyNumberFormat="1" applyFont="1" applyFill="1" applyBorder="1" applyAlignment="1" applyProtection="1">
      <alignment horizontal="center" vertical="center" wrapText="1"/>
      <protection hidden="1"/>
    </xf>
    <xf numFmtId="9" fontId="22" fillId="0" borderId="61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62" xfId="0" applyFont="1" applyBorder="1" applyAlignment="1" applyProtection="1">
      <alignment vertical="top" wrapText="1"/>
      <protection hidden="1"/>
    </xf>
    <xf numFmtId="2" fontId="22" fillId="0" borderId="63" xfId="0" applyNumberFormat="1" applyFont="1" applyFill="1" applyBorder="1" applyAlignment="1" applyProtection="1">
      <alignment horizontal="center" vertical="center" wrapText="1"/>
      <protection hidden="1"/>
    </xf>
    <xf numFmtId="2" fontId="22" fillId="0" borderId="64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Border="1" applyAlignment="1" applyProtection="1">
      <alignment vertical="top" wrapText="1"/>
      <protection hidden="1"/>
    </xf>
    <xf numFmtId="9" fontId="22" fillId="0" borderId="7" xfId="0" applyNumberFormat="1" applyFont="1" applyFill="1" applyBorder="1" applyAlignment="1" applyProtection="1">
      <alignment horizontal="center" vertical="center" wrapText="1"/>
      <protection hidden="1"/>
    </xf>
    <xf numFmtId="9" fontId="2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vertical="top" wrapText="1"/>
      <protection hidden="1"/>
    </xf>
    <xf numFmtId="4" fontId="22" fillId="0" borderId="7" xfId="0" applyNumberFormat="1" applyFont="1" applyFill="1" applyBorder="1" applyAlignment="1" applyProtection="1">
      <alignment horizontal="center" vertical="center" wrapText="1"/>
      <protection hidden="1"/>
    </xf>
    <xf numFmtId="9" fontId="22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18" xfId="0" applyFont="1" applyFill="1" applyBorder="1" applyAlignment="1" applyProtection="1">
      <alignment vertical="top" wrapText="1"/>
      <protection hidden="1"/>
    </xf>
    <xf numFmtId="164" fontId="22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horizontal="center" vertical="top" wrapText="1"/>
      <protection hidden="1"/>
    </xf>
    <xf numFmtId="9" fontId="22" fillId="0" borderId="65" xfId="0" applyNumberFormat="1" applyFont="1" applyFill="1" applyBorder="1" applyAlignment="1" applyProtection="1">
      <alignment horizontal="center" vertical="center" wrapText="1"/>
      <protection hidden="1"/>
    </xf>
    <xf numFmtId="9" fontId="22" fillId="0" borderId="66" xfId="0" applyNumberFormat="1" applyFont="1" applyFill="1" applyBorder="1" applyAlignment="1" applyProtection="1">
      <alignment horizontal="center" vertical="center" wrapText="1"/>
      <protection hidden="1"/>
    </xf>
    <xf numFmtId="9" fontId="22" fillId="0" borderId="56" xfId="0" applyNumberFormat="1" applyFont="1" applyFill="1" applyBorder="1" applyAlignment="1" applyProtection="1">
      <alignment horizontal="center" vertical="center" wrapText="1"/>
      <protection hidden="1"/>
    </xf>
    <xf numFmtId="9" fontId="22" fillId="0" borderId="57" xfId="0" applyNumberFormat="1" applyFont="1" applyFill="1" applyBorder="1" applyAlignment="1" applyProtection="1">
      <alignment horizontal="center" vertical="center" wrapText="1"/>
      <protection hidden="1"/>
    </xf>
    <xf numFmtId="9" fontId="22" fillId="26" borderId="23" xfId="0" applyNumberFormat="1" applyFont="1" applyFill="1" applyBorder="1" applyAlignment="1" applyProtection="1">
      <alignment horizontal="center" vertical="center" wrapText="1"/>
      <protection hidden="1"/>
    </xf>
    <xf numFmtId="9" fontId="22" fillId="26" borderId="57" xfId="0" applyNumberFormat="1" applyFont="1" applyFill="1" applyBorder="1" applyAlignment="1" applyProtection="1">
      <alignment horizontal="center" vertical="center" wrapText="1"/>
      <protection hidden="1"/>
    </xf>
    <xf numFmtId="9" fontId="22" fillId="0" borderId="10" xfId="0" applyNumberFormat="1" applyFont="1" applyFill="1" applyBorder="1" applyAlignment="1" applyProtection="1">
      <alignment horizontal="center" vertical="center" wrapText="1"/>
      <protection hidden="1"/>
    </xf>
    <xf numFmtId="9" fontId="22" fillId="0" borderId="44" xfId="0" applyNumberFormat="1" applyFont="1" applyFill="1" applyBorder="1" applyAlignment="1" applyProtection="1">
      <alignment horizontal="center" vertical="center" wrapText="1"/>
      <protection hidden="1"/>
    </xf>
    <xf numFmtId="9" fontId="22" fillId="0" borderId="24" xfId="0" applyNumberFormat="1" applyFont="1" applyFill="1" applyBorder="1" applyAlignment="1" applyProtection="1">
      <alignment horizontal="center" vertical="center" wrapText="1"/>
      <protection hidden="1"/>
    </xf>
    <xf numFmtId="9" fontId="22" fillId="20" borderId="44" xfId="0" applyNumberFormat="1" applyFont="1" applyFill="1" applyBorder="1" applyAlignment="1" applyProtection="1">
      <alignment horizontal="center" vertical="center" wrapText="1"/>
      <protection hidden="1"/>
    </xf>
    <xf numFmtId="9" fontId="22" fillId="27" borderId="7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top" wrapText="1"/>
      <protection hidden="1"/>
    </xf>
    <xf numFmtId="0" fontId="18" fillId="0" borderId="7" xfId="0" applyFont="1" applyFill="1" applyBorder="1" applyAlignment="1" applyProtection="1">
      <alignment horizontal="center" vertical="top" wrapText="1"/>
      <protection hidden="1"/>
    </xf>
    <xf numFmtId="4" fontId="22" fillId="0" borderId="48" xfId="0" applyNumberFormat="1" applyFont="1" applyFill="1" applyBorder="1" applyAlignment="1" applyProtection="1">
      <alignment horizontal="center" vertical="center" wrapText="1"/>
      <protection hidden="1"/>
    </xf>
    <xf numFmtId="4" fontId="2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27" xfId="0" applyFont="1" applyFill="1" applyBorder="1" applyAlignment="1" applyProtection="1">
      <alignment horizontal="center" vertical="center" wrapText="1"/>
      <protection hidden="1"/>
    </xf>
    <xf numFmtId="0" fontId="25" fillId="0" borderId="7" xfId="0" applyFont="1" applyFill="1" applyBorder="1" applyAlignment="1" applyProtection="1">
      <alignment horizontal="center" vertical="center" wrapText="1"/>
      <protection hidden="1"/>
    </xf>
    <xf numFmtId="164" fontId="22" fillId="0" borderId="48" xfId="0" applyNumberFormat="1" applyFont="1" applyFill="1" applyBorder="1" applyAlignment="1" applyProtection="1">
      <alignment horizontal="center" vertical="center" wrapText="1"/>
      <protection hidden="1"/>
    </xf>
    <xf numFmtId="164" fontId="22" fillId="0" borderId="49" xfId="0" applyNumberFormat="1" applyFont="1" applyFill="1" applyBorder="1" applyAlignment="1" applyProtection="1">
      <alignment horizontal="center" vertical="center" wrapText="1"/>
      <protection hidden="1"/>
    </xf>
    <xf numFmtId="176" fontId="22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19" fillId="0" borderId="0" xfId="0" applyNumberFormat="1" applyFont="1" applyFill="1" applyBorder="1" applyAlignment="1" applyProtection="1">
      <alignment horizontal="center" vertical="center" wrapText="1"/>
      <protection hidden="1"/>
    </xf>
    <xf numFmtId="9" fontId="22" fillId="25" borderId="56" xfId="0" applyNumberFormat="1" applyFont="1" applyFill="1" applyBorder="1" applyAlignment="1" applyProtection="1">
      <alignment horizontal="center" vertical="center" wrapText="1"/>
      <protection hidden="1"/>
    </xf>
    <xf numFmtId="9" fontId="22" fillId="25" borderId="57" xfId="0" applyNumberFormat="1" applyFont="1" applyFill="1" applyBorder="1" applyAlignment="1" applyProtection="1">
      <alignment horizontal="center" vertical="center" wrapText="1"/>
      <protection hidden="1"/>
    </xf>
    <xf numFmtId="9" fontId="22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22" xfId="0" applyFont="1" applyBorder="1" applyAlignment="1" applyProtection="1">
      <alignment horizontal="center" vertical="center" wrapText="1"/>
      <protection hidden="1"/>
    </xf>
    <xf numFmtId="0" fontId="27" fillId="0" borderId="22" xfId="0" applyFont="1" applyBorder="1" applyAlignment="1" applyProtection="1">
      <alignment horizontal="center" vertical="center"/>
      <protection hidden="1"/>
    </xf>
    <xf numFmtId="49" fontId="30" fillId="0" borderId="7" xfId="0" applyNumberFormat="1" applyFont="1" applyBorder="1" applyAlignment="1" applyProtection="1">
      <alignment horizontal="center"/>
      <protection hidden="1"/>
    </xf>
    <xf numFmtId="0" fontId="31" fillId="0" borderId="7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/>
      <protection hidden="1"/>
    </xf>
    <xf numFmtId="49" fontId="27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22" xfId="0" applyFont="1" applyFill="1" applyBorder="1" applyAlignment="1" applyProtection="1">
      <alignment horizontal="center" vertical="center" wrapText="1"/>
      <protection hidden="1"/>
    </xf>
    <xf numFmtId="2" fontId="32" fillId="0" borderId="7" xfId="0" applyNumberFormat="1" applyFont="1" applyFill="1" applyBorder="1" applyAlignment="1" applyProtection="1">
      <alignment horizontal="center" vertical="top" wrapText="1"/>
      <protection hidden="1"/>
    </xf>
    <xf numFmtId="0" fontId="31" fillId="0" borderId="0" xfId="0" applyFont="1" applyFill="1" applyBorder="1" applyAlignment="1" applyProtection="1">
      <alignment horizontal="center" vertical="center" wrapText="1"/>
      <protection hidden="1"/>
    </xf>
    <xf numFmtId="2" fontId="32" fillId="0" borderId="0" xfId="0" applyNumberFormat="1" applyFont="1" applyFill="1" applyBorder="1" applyAlignment="1" applyProtection="1">
      <alignment horizontal="center" vertical="top" wrapText="1"/>
      <protection hidden="1"/>
    </xf>
    <xf numFmtId="0" fontId="0" fillId="0" borderId="0" xfId="0" applyFont="1" applyAlignment="1" applyProtection="1">
      <alignment horizontal="center"/>
      <protection hidden="1"/>
    </xf>
    <xf numFmtId="2" fontId="36" fillId="0" borderId="7" xfId="0" applyNumberFormat="1" applyFont="1" applyBorder="1" applyAlignment="1" applyProtection="1">
      <alignment horizontal="center"/>
      <protection hidden="1"/>
    </xf>
    <xf numFmtId="0" fontId="27" fillId="0" borderId="0" xfId="0" applyFont="1" applyAlignment="1" applyProtection="1">
      <alignment horizontal="center"/>
      <protection hidden="1"/>
    </xf>
    <xf numFmtId="2" fontId="36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Alignment="1" applyProtection="1">
      <alignment horizontal="center" wrapText="1"/>
      <protection hidden="1"/>
    </xf>
    <xf numFmtId="0" fontId="18" fillId="0" borderId="7" xfId="0" applyFont="1" applyBorder="1" applyAlignment="1" applyProtection="1">
      <alignment horizontal="center" vertical="center"/>
      <protection hidden="1"/>
    </xf>
    <xf numFmtId="0" fontId="33" fillId="0" borderId="7" xfId="0" applyFont="1" applyBorder="1" applyAlignment="1" applyProtection="1">
      <alignment horizontal="center"/>
      <protection hidden="1"/>
    </xf>
    <xf numFmtId="165" fontId="0" fillId="0" borderId="7" xfId="0" applyNumberFormat="1" applyBorder="1" applyAlignment="1" applyProtection="1">
      <alignment horizontal="center"/>
      <protection hidden="1"/>
    </xf>
    <xf numFmtId="0" fontId="19" fillId="27" borderId="7" xfId="0" applyFont="1" applyFill="1" applyBorder="1" applyAlignment="1" applyProtection="1">
      <alignment horizontal="center"/>
      <protection hidden="1"/>
    </xf>
    <xf numFmtId="0" fontId="0" fillId="0" borderId="27" xfId="0" applyFont="1" applyBorder="1" applyAlignment="1" applyProtection="1">
      <alignment vertical="center"/>
      <protection hidden="1"/>
    </xf>
    <xf numFmtId="0" fontId="0" fillId="0" borderId="67" xfId="0" applyBorder="1" applyAlignment="1" applyProtection="1">
      <alignment/>
      <protection hidden="1"/>
    </xf>
    <xf numFmtId="0" fontId="19" fillId="0" borderId="7" xfId="0" applyFont="1" applyFill="1" applyBorder="1" applyAlignment="1" applyProtection="1">
      <alignment horizontal="center" vertical="center"/>
      <protection hidden="1"/>
    </xf>
    <xf numFmtId="2" fontId="19" fillId="28" borderId="7" xfId="0" applyNumberFormat="1" applyFont="1" applyFill="1" applyBorder="1" applyAlignment="1" applyProtection="1">
      <alignment horizontal="center" vertical="center" wrapText="1"/>
      <protection hidden="1"/>
    </xf>
    <xf numFmtId="2" fontId="26" fillId="0" borderId="7" xfId="0" applyNumberFormat="1" applyFont="1" applyBorder="1" applyAlignment="1" applyProtection="1">
      <alignment horizontal="center" vertical="center"/>
      <protection hidden="1"/>
    </xf>
    <xf numFmtId="0" fontId="0" fillId="0" borderId="7" xfId="0" applyFont="1" applyBorder="1" applyAlignment="1" applyProtection="1">
      <alignment horizontal="center" textRotation="90" wrapText="1"/>
      <protection hidden="1"/>
    </xf>
    <xf numFmtId="2" fontId="0" fillId="0" borderId="7" xfId="0" applyNumberFormat="1" applyFont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/>
      <protection hidden="1"/>
    </xf>
    <xf numFmtId="2" fontId="19" fillId="0" borderId="7" xfId="0" applyNumberFormat="1" applyFont="1" applyFill="1" applyBorder="1" applyAlignment="1" applyProtection="1">
      <alignment horizontal="center" vertical="center"/>
      <protection hidden="1"/>
    </xf>
    <xf numFmtId="2" fontId="19" fillId="0" borderId="7" xfId="0" applyNumberFormat="1" applyFont="1" applyBorder="1" applyAlignment="1" applyProtection="1">
      <alignment horizontal="center" vertical="center"/>
      <protection hidden="1"/>
    </xf>
    <xf numFmtId="2" fontId="26" fillId="0" borderId="27" xfId="0" applyNumberFormat="1" applyFont="1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 textRotation="90" wrapText="1"/>
      <protection hidden="1"/>
    </xf>
    <xf numFmtId="0" fontId="0" fillId="0" borderId="7" xfId="0" applyFont="1" applyBorder="1" applyAlignment="1" applyProtection="1">
      <alignment horizontal="center" vertical="center" textRotation="90" wrapText="1"/>
      <protection hidden="1"/>
    </xf>
    <xf numFmtId="0" fontId="0" fillId="0" borderId="7" xfId="0" applyFont="1" applyBorder="1" applyAlignment="1" applyProtection="1">
      <alignment horizontal="center" vertical="center" wrapText="1"/>
      <protection hidden="1"/>
    </xf>
    <xf numFmtId="0" fontId="0" fillId="0" borderId="68" xfId="0" applyFont="1" applyBorder="1" applyAlignment="1" applyProtection="1">
      <alignment horizontal="center" vertical="center" wrapText="1"/>
      <protection hidden="1"/>
    </xf>
    <xf numFmtId="2" fontId="0" fillId="0" borderId="14" xfId="0" applyNumberFormat="1" applyFont="1" applyBorder="1" applyAlignment="1" applyProtection="1">
      <alignment horizontal="center" vertical="center"/>
      <protection hidden="1"/>
    </xf>
    <xf numFmtId="9" fontId="0" fillId="0" borderId="28" xfId="0" applyNumberFormat="1" applyFill="1" applyBorder="1" applyAlignment="1" applyProtection="1">
      <alignment horizontal="center" vertical="center" wrapText="1"/>
      <protection hidden="1"/>
    </xf>
    <xf numFmtId="0" fontId="0" fillId="0" borderId="23" xfId="0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2" fontId="0" fillId="0" borderId="24" xfId="0" applyNumberFormat="1" applyBorder="1" applyAlignment="1" applyProtection="1">
      <alignment horizontal="center" vertical="center"/>
      <protection hidden="1"/>
    </xf>
    <xf numFmtId="10" fontId="0" fillId="0" borderId="25" xfId="0" applyNumberFormat="1" applyFill="1" applyBorder="1" applyAlignment="1" applyProtection="1">
      <alignment horizontal="center" vertical="center" wrapText="1"/>
      <protection hidden="1"/>
    </xf>
    <xf numFmtId="0" fontId="0" fillId="0" borderId="69" xfId="0" applyNumberFormat="1" applyBorder="1" applyAlignment="1" applyProtection="1">
      <alignment horizontal="center" vertical="center"/>
      <protection hidden="1"/>
    </xf>
    <xf numFmtId="2" fontId="27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7" xfId="0" applyFill="1" applyBorder="1" applyAlignment="1" applyProtection="1">
      <alignment horizontal="center" vertical="top" wrapText="1"/>
      <protection hidden="1"/>
    </xf>
    <xf numFmtId="0" fontId="0" fillId="0" borderId="7" xfId="0" applyFill="1" applyBorder="1" applyAlignment="1" applyProtection="1">
      <alignment horizontal="center" vertical="center" wrapText="1"/>
      <protection hidden="1"/>
    </xf>
    <xf numFmtId="0" fontId="0" fillId="0" borderId="7" xfId="0" applyFont="1" applyFill="1" applyBorder="1" applyAlignment="1" applyProtection="1">
      <alignment horizontal="center" vertical="center" wrapText="1"/>
      <protection hidden="1"/>
    </xf>
    <xf numFmtId="0" fontId="25" fillId="0" borderId="7" xfId="0" applyFont="1" applyBorder="1" applyAlignment="1" applyProtection="1">
      <alignment horizontal="center" vertical="center" wrapText="1"/>
      <protection hidden="1"/>
    </xf>
    <xf numFmtId="166" fontId="19" fillId="15" borderId="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/>
      <protection hidden="1"/>
    </xf>
    <xf numFmtId="49" fontId="27" fillId="10" borderId="7" xfId="0" applyNumberFormat="1" applyFont="1" applyFill="1" applyBorder="1" applyAlignment="1" applyProtection="1">
      <alignment horizontal="center" vertical="center" wrapText="1"/>
      <protection hidden="1"/>
    </xf>
    <xf numFmtId="0" fontId="27" fillId="10" borderId="7" xfId="0" applyFont="1" applyFill="1" applyBorder="1" applyAlignment="1" applyProtection="1">
      <alignment horizontal="center" vertical="center"/>
      <protection hidden="1"/>
    </xf>
    <xf numFmtId="0" fontId="0" fillId="10" borderId="0" xfId="0" applyFill="1" applyAlignment="1" applyProtection="1">
      <alignment/>
      <protection hidden="1"/>
    </xf>
    <xf numFmtId="2" fontId="0" fillId="10" borderId="70" xfId="0" applyNumberFormat="1" applyFont="1" applyFill="1" applyBorder="1" applyAlignment="1" applyProtection="1">
      <alignment horizontal="center"/>
      <protection hidden="1"/>
    </xf>
    <xf numFmtId="0" fontId="27" fillId="10" borderId="71" xfId="0" applyFont="1" applyFill="1" applyBorder="1" applyAlignment="1" applyProtection="1">
      <alignment horizontal="left"/>
      <protection hidden="1"/>
    </xf>
    <xf numFmtId="2" fontId="0" fillId="10" borderId="72" xfId="0" applyNumberFormat="1" applyFont="1" applyFill="1" applyBorder="1" applyAlignment="1" applyProtection="1">
      <alignment horizontal="center"/>
      <protection hidden="1"/>
    </xf>
    <xf numFmtId="0" fontId="27" fillId="10" borderId="73" xfId="0" applyFont="1" applyFill="1" applyBorder="1" applyAlignment="1" applyProtection="1">
      <alignment horizontal="left"/>
      <protection hidden="1"/>
    </xf>
    <xf numFmtId="49" fontId="27" fillId="2" borderId="7" xfId="0" applyNumberFormat="1" applyFont="1" applyFill="1" applyBorder="1" applyAlignment="1" applyProtection="1">
      <alignment horizontal="center" vertical="center" wrapText="1"/>
      <protection hidden="1"/>
    </xf>
    <xf numFmtId="49" fontId="27" fillId="2" borderId="27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Alignment="1" applyProtection="1">
      <alignment/>
      <protection hidden="1"/>
    </xf>
    <xf numFmtId="2" fontId="0" fillId="2" borderId="74" xfId="0" applyNumberFormat="1" applyFont="1" applyFill="1" applyBorder="1" applyAlignment="1" applyProtection="1">
      <alignment horizontal="center"/>
      <protection hidden="1"/>
    </xf>
    <xf numFmtId="0" fontId="27" fillId="2" borderId="15" xfId="0" applyFont="1" applyFill="1" applyBorder="1" applyAlignment="1" applyProtection="1">
      <alignment horizontal="left"/>
      <protection hidden="1"/>
    </xf>
    <xf numFmtId="0" fontId="27" fillId="2" borderId="74" xfId="0" applyFont="1" applyFill="1" applyBorder="1" applyAlignment="1" applyProtection="1">
      <alignment horizontal="left"/>
      <protection hidden="1"/>
    </xf>
    <xf numFmtId="0" fontId="27" fillId="2" borderId="16" xfId="0" applyFont="1" applyFill="1" applyBorder="1" applyAlignment="1" applyProtection="1">
      <alignment horizontal="left"/>
      <protection hidden="1"/>
    </xf>
    <xf numFmtId="49" fontId="27" fillId="29" borderId="7" xfId="0" applyNumberFormat="1" applyFont="1" applyFill="1" applyBorder="1" applyAlignment="1" applyProtection="1">
      <alignment horizontal="center" vertical="center" wrapText="1"/>
      <protection hidden="1"/>
    </xf>
    <xf numFmtId="0" fontId="0" fillId="30" borderId="0" xfId="0" applyFill="1" applyAlignment="1" applyProtection="1">
      <alignment/>
      <protection hidden="1"/>
    </xf>
    <xf numFmtId="2" fontId="0" fillId="31" borderId="70" xfId="0" applyNumberFormat="1" applyFont="1" applyFill="1" applyBorder="1" applyAlignment="1" applyProtection="1">
      <alignment horizontal="center"/>
      <protection hidden="1"/>
    </xf>
    <xf numFmtId="0" fontId="27" fillId="29" borderId="74" xfId="0" applyFont="1" applyFill="1" applyBorder="1" applyAlignment="1" applyProtection="1">
      <alignment horizontal="left"/>
      <protection hidden="1"/>
    </xf>
    <xf numFmtId="0" fontId="27" fillId="29" borderId="16" xfId="0" applyFont="1" applyFill="1" applyBorder="1" applyAlignment="1" applyProtection="1">
      <alignment horizontal="left"/>
      <protection hidden="1"/>
    </xf>
    <xf numFmtId="2" fontId="0" fillId="31" borderId="72" xfId="0" applyNumberFormat="1" applyFont="1" applyFill="1" applyBorder="1" applyAlignment="1" applyProtection="1">
      <alignment horizontal="center"/>
      <protection hidden="1"/>
    </xf>
    <xf numFmtId="49" fontId="27" fillId="24" borderId="7" xfId="0" applyNumberFormat="1" applyFont="1" applyFill="1" applyBorder="1" applyAlignment="1" applyProtection="1">
      <alignment horizontal="center" vertical="center" wrapText="1"/>
      <protection hidden="1"/>
    </xf>
    <xf numFmtId="0" fontId="0" fillId="32" borderId="0" xfId="0" applyFill="1" applyAlignment="1" applyProtection="1">
      <alignment/>
      <protection hidden="1"/>
    </xf>
    <xf numFmtId="2" fontId="0" fillId="33" borderId="70" xfId="0" applyNumberFormat="1" applyFont="1" applyFill="1" applyBorder="1" applyAlignment="1" applyProtection="1">
      <alignment horizontal="center"/>
      <protection hidden="1"/>
    </xf>
    <xf numFmtId="0" fontId="27" fillId="24" borderId="74" xfId="0" applyFont="1" applyFill="1" applyBorder="1" applyAlignment="1" applyProtection="1">
      <alignment horizontal="left"/>
      <protection hidden="1"/>
    </xf>
    <xf numFmtId="0" fontId="27" fillId="24" borderId="16" xfId="0" applyFont="1" applyFill="1" applyBorder="1" applyAlignment="1" applyProtection="1">
      <alignment horizontal="left"/>
      <protection hidden="1"/>
    </xf>
    <xf numFmtId="2" fontId="0" fillId="33" borderId="72" xfId="0" applyNumberFormat="1" applyFont="1" applyFill="1" applyBorder="1" applyAlignment="1" applyProtection="1">
      <alignment horizontal="center"/>
      <protection hidden="1"/>
    </xf>
    <xf numFmtId="0" fontId="0" fillId="32" borderId="18" xfId="0" applyFill="1" applyBorder="1" applyAlignment="1" applyProtection="1">
      <alignment/>
      <protection hidden="1"/>
    </xf>
    <xf numFmtId="2" fontId="0" fillId="33" borderId="75" xfId="0" applyNumberFormat="1" applyFont="1" applyFill="1" applyBorder="1" applyAlignment="1" applyProtection="1">
      <alignment horizontal="center"/>
      <protection hidden="1"/>
    </xf>
    <xf numFmtId="0" fontId="27" fillId="24" borderId="17" xfId="0" applyFont="1" applyFill="1" applyBorder="1" applyAlignment="1" applyProtection="1">
      <alignment horizontal="left"/>
      <protection hidden="1"/>
    </xf>
    <xf numFmtId="0" fontId="0" fillId="34" borderId="0" xfId="0" applyFill="1" applyBorder="1" applyAlignment="1" applyProtection="1">
      <alignment/>
      <protection hidden="1"/>
    </xf>
    <xf numFmtId="49" fontId="52" fillId="20" borderId="76" xfId="52" applyNumberFormat="1" applyFont="1" applyFill="1" applyBorder="1" applyAlignment="1" applyProtection="1">
      <alignment vertical="center"/>
      <protection hidden="1"/>
    </xf>
    <xf numFmtId="2" fontId="53" fillId="35" borderId="76" xfId="52" applyNumberFormat="1" applyFont="1" applyFill="1" applyBorder="1" applyAlignment="1" applyProtection="1">
      <alignment horizontal="center" vertical="center"/>
      <protection hidden="1"/>
    </xf>
    <xf numFmtId="49" fontId="52" fillId="20" borderId="76" xfId="52" applyNumberFormat="1" applyFont="1" applyFill="1" applyBorder="1" applyAlignment="1" applyProtection="1">
      <alignment horizontal="center" vertical="center" wrapText="1"/>
      <protection hidden="1"/>
    </xf>
    <xf numFmtId="1" fontId="54" fillId="20" borderId="76" xfId="52" applyNumberFormat="1" applyFont="1" applyFill="1" applyBorder="1" applyAlignment="1" applyProtection="1">
      <alignment horizontal="center" vertical="center"/>
      <protection hidden="1"/>
    </xf>
    <xf numFmtId="1" fontId="53" fillId="35" borderId="76" xfId="52" applyNumberFormat="1" applyFont="1" applyFill="1" applyBorder="1" applyAlignment="1" applyProtection="1">
      <alignment horizontal="center" vertical="center"/>
      <protection hidden="1"/>
    </xf>
    <xf numFmtId="0" fontId="0" fillId="20" borderId="0" xfId="0" applyFill="1" applyAlignment="1" applyProtection="1">
      <alignment/>
      <protection hidden="1"/>
    </xf>
    <xf numFmtId="0" fontId="0" fillId="20" borderId="0" xfId="0" applyFill="1" applyAlignment="1" applyProtection="1">
      <alignment horizontal="center" vertical="center"/>
      <protection hidden="1"/>
    </xf>
    <xf numFmtId="0" fontId="53" fillId="20" borderId="26" xfId="52" applyFont="1" applyFill="1" applyBorder="1" applyAlignment="1" applyProtection="1">
      <alignment vertical="center"/>
      <protection hidden="1"/>
    </xf>
    <xf numFmtId="2" fontId="26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56" xfId="0" applyFont="1" applyBorder="1" applyAlignment="1" applyProtection="1">
      <alignment horizontal="center" textRotation="90" wrapText="1"/>
      <protection hidden="1"/>
    </xf>
    <xf numFmtId="0" fontId="0" fillId="0" borderId="0" xfId="0" applyFill="1" applyBorder="1" applyAlignment="1" applyProtection="1">
      <alignment horizontal="center" textRotation="90" wrapText="1"/>
      <protection hidden="1"/>
    </xf>
    <xf numFmtId="0" fontId="0" fillId="0" borderId="76" xfId="0" applyFont="1" applyBorder="1" applyAlignment="1" applyProtection="1">
      <alignment horizontal="center" textRotation="90" wrapText="1"/>
      <protection hidden="1"/>
    </xf>
    <xf numFmtId="0" fontId="0" fillId="0" borderId="57" xfId="0" applyFont="1" applyBorder="1" applyAlignment="1" applyProtection="1">
      <alignment horizontal="center" textRotation="90" wrapText="1"/>
      <protection hidden="1"/>
    </xf>
    <xf numFmtId="10" fontId="0" fillId="0" borderId="31" xfId="0" applyNumberFormat="1" applyFill="1" applyBorder="1" applyAlignment="1" applyProtection="1">
      <alignment horizontal="center" vertical="center" wrapText="1"/>
      <protection hidden="1"/>
    </xf>
    <xf numFmtId="10" fontId="0" fillId="0" borderId="32" xfId="0" applyNumberFormat="1" applyFill="1" applyBorder="1" applyAlignment="1" applyProtection="1">
      <alignment horizontal="center" vertical="center" wrapText="1"/>
      <protection hidden="1"/>
    </xf>
    <xf numFmtId="0" fontId="0" fillId="0" borderId="26" xfId="0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 horizontal="center" vertical="center" wrapText="1"/>
      <protection hidden="1"/>
    </xf>
    <xf numFmtId="2" fontId="26" fillId="0" borderId="33" xfId="0" applyNumberFormat="1" applyFont="1" applyBorder="1" applyAlignment="1" applyProtection="1">
      <alignment horizontal="center" vertical="center"/>
      <protection hidden="1"/>
    </xf>
    <xf numFmtId="0" fontId="26" fillId="0" borderId="45" xfId="0" applyFont="1" applyBorder="1" applyAlignment="1" applyProtection="1">
      <alignment horizontal="center" wrapText="1"/>
      <protection hidden="1"/>
    </xf>
    <xf numFmtId="0" fontId="0" fillId="0" borderId="33" xfId="0" applyFont="1" applyBorder="1" applyAlignment="1" applyProtection="1">
      <alignment horizontal="center" textRotation="90" wrapText="1"/>
      <protection hidden="1"/>
    </xf>
    <xf numFmtId="2" fontId="19" fillId="0" borderId="12" xfId="0" applyNumberFormat="1" applyFont="1" applyFill="1" applyBorder="1" applyAlignment="1" applyProtection="1">
      <alignment horizontal="center" vertical="center" wrapText="1"/>
      <protection hidden="1"/>
    </xf>
    <xf numFmtId="9" fontId="19" fillId="0" borderId="12" xfId="0" applyNumberFormat="1" applyFont="1" applyFill="1" applyBorder="1" applyAlignment="1" applyProtection="1">
      <alignment horizontal="center" vertical="center" wrapText="1"/>
      <protection hidden="1"/>
    </xf>
    <xf numFmtId="49" fontId="27" fillId="36" borderId="7" xfId="0" applyNumberFormat="1" applyFont="1" applyFill="1" applyBorder="1" applyAlignment="1" applyProtection="1">
      <alignment horizontal="center" vertical="center" wrapText="1"/>
      <protection hidden="1"/>
    </xf>
    <xf numFmtId="0" fontId="27" fillId="36" borderId="7" xfId="0" applyFont="1" applyFill="1" applyBorder="1" applyAlignment="1" applyProtection="1">
      <alignment horizontal="center" vertical="center"/>
      <protection hidden="1"/>
    </xf>
    <xf numFmtId="0" fontId="0" fillId="36" borderId="46" xfId="0" applyFill="1" applyBorder="1" applyAlignment="1" applyProtection="1">
      <alignment/>
      <protection hidden="1"/>
    </xf>
    <xf numFmtId="0" fontId="0" fillId="36" borderId="0" xfId="0" applyFill="1" applyAlignment="1" applyProtection="1">
      <alignment/>
      <protection hidden="1"/>
    </xf>
    <xf numFmtId="2" fontId="0" fillId="36" borderId="15" xfId="0" applyNumberFormat="1" applyFont="1" applyFill="1" applyBorder="1" applyAlignment="1" applyProtection="1">
      <alignment horizontal="center"/>
      <protection hidden="1"/>
    </xf>
    <xf numFmtId="0" fontId="27" fillId="36" borderId="77" xfId="0" applyFont="1" applyFill="1" applyBorder="1" applyAlignment="1" applyProtection="1">
      <alignment horizontal="left"/>
      <protection hidden="1"/>
    </xf>
    <xf numFmtId="0" fontId="0" fillId="36" borderId="21" xfId="0" applyFill="1" applyBorder="1" applyAlignment="1" applyProtection="1">
      <alignment/>
      <protection hidden="1"/>
    </xf>
    <xf numFmtId="2" fontId="0" fillId="36" borderId="16" xfId="0" applyNumberFormat="1" applyFont="1" applyFill="1" applyBorder="1" applyAlignment="1" applyProtection="1">
      <alignment horizontal="center"/>
      <protection hidden="1"/>
    </xf>
    <xf numFmtId="0" fontId="27" fillId="36" borderId="51" xfId="0" applyFont="1" applyFill="1" applyBorder="1" applyAlignment="1" applyProtection="1">
      <alignment horizontal="left"/>
      <protection hidden="1"/>
    </xf>
    <xf numFmtId="0" fontId="0" fillId="36" borderId="48" xfId="0" applyFill="1" applyBorder="1" applyAlignment="1" applyProtection="1">
      <alignment/>
      <protection hidden="1"/>
    </xf>
    <xf numFmtId="2" fontId="0" fillId="36" borderId="78" xfId="0" applyNumberFormat="1" applyFont="1" applyFill="1" applyBorder="1" applyAlignment="1" applyProtection="1">
      <alignment horizontal="center"/>
      <protection hidden="1"/>
    </xf>
    <xf numFmtId="0" fontId="27" fillId="36" borderId="79" xfId="0" applyFont="1" applyFill="1" applyBorder="1" applyAlignment="1" applyProtection="1">
      <alignment horizontal="left"/>
      <protection hidden="1"/>
    </xf>
    <xf numFmtId="49" fontId="27" fillId="37" borderId="7" xfId="0" applyNumberFormat="1" applyFont="1" applyFill="1" applyBorder="1" applyAlignment="1" applyProtection="1">
      <alignment horizontal="center" vertical="center" wrapText="1"/>
      <protection hidden="1"/>
    </xf>
    <xf numFmtId="49" fontId="27" fillId="37" borderId="7" xfId="0" applyNumberFormat="1" applyFont="1" applyFill="1" applyBorder="1" applyAlignment="1" applyProtection="1">
      <alignment horizontal="center" wrapText="1"/>
      <protection hidden="1"/>
    </xf>
    <xf numFmtId="0" fontId="0" fillId="37" borderId="21" xfId="0" applyFill="1" applyBorder="1" applyAlignment="1" applyProtection="1">
      <alignment/>
      <protection hidden="1"/>
    </xf>
    <xf numFmtId="0" fontId="0" fillId="37" borderId="0" xfId="0" applyFill="1" applyBorder="1" applyAlignment="1" applyProtection="1">
      <alignment/>
      <protection hidden="1"/>
    </xf>
    <xf numFmtId="2" fontId="0" fillId="37" borderId="80" xfId="0" applyNumberFormat="1" applyFont="1" applyFill="1" applyBorder="1" applyAlignment="1" applyProtection="1">
      <alignment horizontal="center"/>
      <protection hidden="1"/>
    </xf>
    <xf numFmtId="0" fontId="27" fillId="37" borderId="15" xfId="0" applyFont="1" applyFill="1" applyBorder="1" applyAlignment="1" applyProtection="1">
      <alignment horizontal="left"/>
      <protection hidden="1"/>
    </xf>
    <xf numFmtId="2" fontId="0" fillId="37" borderId="81" xfId="0" applyNumberFormat="1" applyFont="1" applyFill="1" applyBorder="1" applyAlignment="1" applyProtection="1">
      <alignment horizontal="center"/>
      <protection hidden="1"/>
    </xf>
    <xf numFmtId="0" fontId="27" fillId="37" borderId="16" xfId="0" applyFont="1" applyFill="1" applyBorder="1" applyAlignment="1" applyProtection="1">
      <alignment horizontal="left"/>
      <protection hidden="1"/>
    </xf>
    <xf numFmtId="0" fontId="0" fillId="37" borderId="48" xfId="0" applyFill="1" applyBorder="1" applyAlignment="1" applyProtection="1">
      <alignment/>
      <protection hidden="1"/>
    </xf>
    <xf numFmtId="0" fontId="0" fillId="37" borderId="49" xfId="0" applyFill="1" applyBorder="1" applyAlignment="1" applyProtection="1">
      <alignment/>
      <protection hidden="1"/>
    </xf>
    <xf numFmtId="2" fontId="0" fillId="37" borderId="82" xfId="0" applyNumberFormat="1" applyFont="1" applyFill="1" applyBorder="1" applyAlignment="1" applyProtection="1">
      <alignment horizontal="center"/>
      <protection hidden="1"/>
    </xf>
    <xf numFmtId="0" fontId="27" fillId="37" borderId="17" xfId="0" applyFont="1" applyFill="1" applyBorder="1" applyAlignment="1" applyProtection="1">
      <alignment horizontal="left"/>
      <protection hidden="1"/>
    </xf>
    <xf numFmtId="0" fontId="0" fillId="0" borderId="7" xfId="0" applyFont="1" applyBorder="1" applyAlignment="1" applyProtection="1">
      <alignment horizont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/>
      <protection hidden="1"/>
    </xf>
    <xf numFmtId="0" fontId="19" fillId="0" borderId="7" xfId="0" applyFont="1" applyBorder="1" applyAlignment="1" applyProtection="1">
      <alignment horizontal="center"/>
      <protection hidden="1"/>
    </xf>
    <xf numFmtId="9" fontId="19" fillId="0" borderId="7" xfId="0" applyNumberFormat="1" applyFont="1" applyBorder="1" applyAlignment="1" applyProtection="1">
      <alignment horizontal="center"/>
      <protection hidden="1"/>
    </xf>
    <xf numFmtId="0" fontId="0" fillId="36" borderId="47" xfId="0" applyFill="1" applyBorder="1" applyAlignment="1" applyProtection="1">
      <alignment/>
      <protection hidden="1"/>
    </xf>
    <xf numFmtId="0" fontId="0" fillId="36" borderId="0" xfId="0" applyFill="1" applyBorder="1" applyAlignment="1" applyProtection="1">
      <alignment/>
      <protection hidden="1"/>
    </xf>
    <xf numFmtId="0" fontId="0" fillId="36" borderId="18" xfId="0" applyFill="1" applyBorder="1" applyAlignment="1" applyProtection="1">
      <alignment/>
      <protection hidden="1"/>
    </xf>
    <xf numFmtId="2" fontId="0" fillId="36" borderId="17" xfId="0" applyNumberFormat="1" applyFont="1" applyFill="1" applyBorder="1" applyAlignment="1" applyProtection="1">
      <alignment horizontal="center"/>
      <protection hidden="1"/>
    </xf>
    <xf numFmtId="0" fontId="27" fillId="36" borderId="83" xfId="0" applyFont="1" applyFill="1" applyBorder="1" applyAlignment="1" applyProtection="1">
      <alignment horizontal="left"/>
      <protection hidden="1"/>
    </xf>
    <xf numFmtId="0" fontId="0" fillId="38" borderId="0" xfId="0" applyFill="1" applyAlignment="1" applyProtection="1">
      <alignment/>
      <protection hidden="1"/>
    </xf>
    <xf numFmtId="2" fontId="27" fillId="38" borderId="0" xfId="0" applyNumberFormat="1" applyFont="1" applyFill="1" applyAlignment="1" applyProtection="1">
      <alignment horizontal="center"/>
      <protection hidden="1"/>
    </xf>
    <xf numFmtId="0" fontId="27" fillId="38" borderId="47" xfId="0" applyFont="1" applyFill="1" applyBorder="1" applyAlignment="1" applyProtection="1">
      <alignment horizontal="left"/>
      <protection hidden="1"/>
    </xf>
    <xf numFmtId="2" fontId="27" fillId="38" borderId="18" xfId="0" applyNumberFormat="1" applyFont="1" applyFill="1" applyBorder="1" applyAlignment="1" applyProtection="1">
      <alignment horizontal="center"/>
      <protection hidden="1"/>
    </xf>
    <xf numFmtId="0" fontId="27" fillId="38" borderId="18" xfId="0" applyFont="1" applyFill="1" applyBorder="1" applyAlignment="1" applyProtection="1">
      <alignment horizontal="left"/>
      <protection hidden="1"/>
    </xf>
    <xf numFmtId="0" fontId="0" fillId="18" borderId="14" xfId="0" applyFill="1" applyBorder="1" applyAlignment="1" applyProtection="1">
      <alignment horizontal="center"/>
      <protection locked="0"/>
    </xf>
    <xf numFmtId="49" fontId="27" fillId="0" borderId="7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7" xfId="0" applyNumberFormat="1" applyFont="1" applyFill="1" applyBorder="1" applyAlignment="1" applyProtection="1">
      <alignment horizontal="center" wrapText="1"/>
      <protection hidden="1"/>
    </xf>
    <xf numFmtId="49" fontId="0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2" xfId="0" applyFill="1" applyBorder="1" applyAlignment="1" applyProtection="1">
      <alignment/>
      <protection hidden="1"/>
    </xf>
    <xf numFmtId="0" fontId="0" fillId="0" borderId="43" xfId="0" applyFill="1" applyBorder="1" applyAlignment="1" applyProtection="1">
      <alignment/>
      <protection hidden="1"/>
    </xf>
    <xf numFmtId="0" fontId="0" fillId="0" borderId="14" xfId="0" applyNumberFormat="1" applyFill="1" applyBorder="1" applyAlignment="1" applyProtection="1">
      <alignment horizontal="center"/>
      <protection hidden="1"/>
    </xf>
    <xf numFmtId="0" fontId="0" fillId="0" borderId="14" xfId="0" applyFill="1" applyBorder="1" applyAlignment="1" applyProtection="1">
      <alignment horizontal="center"/>
      <protection hidden="1"/>
    </xf>
    <xf numFmtId="2" fontId="0" fillId="0" borderId="14" xfId="0" applyNumberFormat="1" applyFill="1" applyBorder="1" applyAlignment="1" applyProtection="1">
      <alignment horizontal="center"/>
      <protection hidden="1"/>
    </xf>
    <xf numFmtId="2" fontId="27" fillId="0" borderId="14" xfId="0" applyNumberFormat="1" applyFont="1" applyFill="1" applyBorder="1" applyAlignment="1" applyProtection="1">
      <alignment horizontal="center"/>
      <protection hidden="1"/>
    </xf>
    <xf numFmtId="0" fontId="21" fillId="0" borderId="45" xfId="0" applyFont="1" applyBorder="1" applyAlignment="1">
      <alignment vertical="top" wrapText="1"/>
    </xf>
    <xf numFmtId="0" fontId="21" fillId="0" borderId="45" xfId="0" applyFont="1" applyBorder="1" applyAlignment="1">
      <alignment vertical="top" wrapText="1" shrinkToFit="1"/>
    </xf>
    <xf numFmtId="2" fontId="19" fillId="18" borderId="74" xfId="0" applyNumberFormat="1" applyFont="1" applyFill="1" applyBorder="1" applyAlignment="1" applyProtection="1">
      <alignment horizontal="center" vertical="center" wrapText="1"/>
      <protection locked="0"/>
    </xf>
    <xf numFmtId="0" fontId="0" fillId="39" borderId="0" xfId="0" applyFill="1" applyAlignment="1" applyProtection="1">
      <alignment/>
      <protection/>
    </xf>
    <xf numFmtId="2" fontId="19" fillId="0" borderId="12" xfId="0" applyNumberFormat="1" applyFont="1" applyFill="1" applyBorder="1" applyAlignment="1" applyProtection="1">
      <alignment horizontal="center" vertical="center"/>
      <protection hidden="1"/>
    </xf>
    <xf numFmtId="10" fontId="20" fillId="0" borderId="27" xfId="0" applyNumberFormat="1" applyFont="1" applyBorder="1" applyAlignment="1" applyProtection="1">
      <alignment horizontal="center" vertical="center"/>
      <protection hidden="1"/>
    </xf>
    <xf numFmtId="2" fontId="19" fillId="0" borderId="27" xfId="0" applyNumberFormat="1" applyFont="1" applyBorder="1" applyAlignment="1" applyProtection="1">
      <alignment horizontal="center" vertical="center"/>
      <protection hidden="1"/>
    </xf>
    <xf numFmtId="0" fontId="0" fillId="40" borderId="0" xfId="0" applyFill="1" applyAlignment="1" applyProtection="1">
      <alignment/>
      <protection hidden="1"/>
    </xf>
    <xf numFmtId="0" fontId="20" fillId="25" borderId="7" xfId="0" applyFont="1" applyFill="1" applyBorder="1" applyAlignment="1" applyProtection="1">
      <alignment horizontal="center" vertical="center" wrapText="1"/>
      <protection hidden="1"/>
    </xf>
    <xf numFmtId="0" fontId="19" fillId="25" borderId="7" xfId="0" applyFont="1" applyFill="1" applyBorder="1" applyAlignment="1" applyProtection="1">
      <alignment horizontal="center" vertical="center" wrapText="1"/>
      <protection hidden="1"/>
    </xf>
    <xf numFmtId="166" fontId="19" fillId="41" borderId="7" xfId="0" applyNumberFormat="1" applyFont="1" applyFill="1" applyBorder="1" applyAlignment="1" applyProtection="1">
      <alignment horizontal="center" vertical="center" wrapText="1"/>
      <protection hidden="1"/>
    </xf>
    <xf numFmtId="49" fontId="27" fillId="20" borderId="7" xfId="0" applyNumberFormat="1" applyFont="1" applyFill="1" applyBorder="1" applyAlignment="1" applyProtection="1">
      <alignment horizontal="center" vertical="center" wrapText="1"/>
      <protection hidden="1"/>
    </xf>
    <xf numFmtId="0" fontId="53" fillId="20" borderId="84" xfId="52" applyFont="1" applyFill="1" applyBorder="1" applyAlignment="1" applyProtection="1">
      <alignment vertical="center"/>
      <protection hidden="1"/>
    </xf>
    <xf numFmtId="0" fontId="52" fillId="20" borderId="84" xfId="52" applyFont="1" applyFill="1" applyBorder="1" applyAlignment="1" applyProtection="1">
      <alignment vertical="center"/>
      <protection hidden="1"/>
    </xf>
    <xf numFmtId="0" fontId="0" fillId="20" borderId="85" xfId="0" applyFill="1" applyBorder="1" applyAlignment="1" applyProtection="1">
      <alignment/>
      <protection hidden="1"/>
    </xf>
    <xf numFmtId="0" fontId="0" fillId="20" borderId="86" xfId="0" applyFill="1" applyBorder="1" applyAlignment="1" applyProtection="1">
      <alignment/>
      <protection hidden="1"/>
    </xf>
    <xf numFmtId="0" fontId="0" fillId="20" borderId="87" xfId="0" applyFill="1" applyBorder="1" applyAlignment="1" applyProtection="1">
      <alignment/>
      <protection hidden="1"/>
    </xf>
    <xf numFmtId="0" fontId="0" fillId="20" borderId="88" xfId="0" applyFill="1" applyBorder="1" applyAlignment="1" applyProtection="1">
      <alignment horizontal="center" vertical="center"/>
      <protection hidden="1"/>
    </xf>
    <xf numFmtId="0" fontId="0" fillId="20" borderId="87" xfId="0" applyFill="1" applyBorder="1" applyAlignment="1" applyProtection="1">
      <alignment horizontal="center" vertical="center"/>
      <protection hidden="1"/>
    </xf>
    <xf numFmtId="0" fontId="0" fillId="20" borderId="89" xfId="0" applyFill="1" applyBorder="1" applyAlignment="1" applyProtection="1">
      <alignment horizontal="center" vertical="center"/>
      <protection hidden="1"/>
    </xf>
    <xf numFmtId="0" fontId="0" fillId="20" borderId="90" xfId="0" applyFill="1" applyBorder="1" applyAlignment="1" applyProtection="1">
      <alignment horizontal="center" vertical="center"/>
      <protection hidden="1"/>
    </xf>
    <xf numFmtId="0" fontId="0" fillId="34" borderId="85" xfId="0" applyFill="1" applyBorder="1" applyAlignment="1" applyProtection="1">
      <alignment/>
      <protection hidden="1"/>
    </xf>
    <xf numFmtId="0" fontId="0" fillId="34" borderId="91" xfId="0" applyFill="1" applyBorder="1" applyAlignment="1" applyProtection="1">
      <alignment/>
      <protection hidden="1"/>
    </xf>
    <xf numFmtId="0" fontId="0" fillId="34" borderId="86" xfId="0" applyFill="1" applyBorder="1" applyAlignment="1" applyProtection="1">
      <alignment/>
      <protection hidden="1"/>
    </xf>
    <xf numFmtId="0" fontId="0" fillId="34" borderId="87" xfId="0" applyFill="1" applyBorder="1" applyAlignment="1" applyProtection="1">
      <alignment/>
      <protection hidden="1"/>
    </xf>
    <xf numFmtId="0" fontId="0" fillId="34" borderId="88" xfId="0" applyFill="1" applyBorder="1" applyAlignment="1" applyProtection="1">
      <alignment/>
      <protection hidden="1"/>
    </xf>
    <xf numFmtId="0" fontId="0" fillId="34" borderId="89" xfId="0" applyFill="1" applyBorder="1" applyAlignment="1" applyProtection="1">
      <alignment/>
      <protection hidden="1"/>
    </xf>
    <xf numFmtId="0" fontId="0" fillId="34" borderId="92" xfId="0" applyFill="1" applyBorder="1" applyAlignment="1" applyProtection="1">
      <alignment/>
      <protection hidden="1"/>
    </xf>
    <xf numFmtId="0" fontId="0" fillId="34" borderId="90" xfId="0" applyFill="1" applyBorder="1" applyAlignment="1" applyProtection="1">
      <alignment/>
      <protection hidden="1"/>
    </xf>
    <xf numFmtId="2" fontId="27" fillId="25" borderId="52" xfId="0" applyNumberFormat="1" applyFont="1" applyFill="1" applyBorder="1" applyAlignment="1" applyProtection="1">
      <alignment vertical="center"/>
      <protection/>
    </xf>
    <xf numFmtId="0" fontId="19" fillId="41" borderId="0" xfId="0" applyFont="1" applyFill="1" applyBorder="1" applyAlignment="1" applyProtection="1">
      <alignment horizontal="left" vertical="center" wrapText="1"/>
      <protection locked="0"/>
    </xf>
    <xf numFmtId="0" fontId="31" fillId="0" borderId="7" xfId="0" applyFont="1" applyFill="1" applyBorder="1" applyAlignment="1" applyProtection="1">
      <alignment horizontal="center" vertical="center" wrapText="1"/>
      <protection locked="0"/>
    </xf>
    <xf numFmtId="0" fontId="0" fillId="0" borderId="86" xfId="0" applyBorder="1" applyAlignment="1" applyProtection="1">
      <alignment/>
      <protection hidden="1"/>
    </xf>
    <xf numFmtId="0" fontId="18" fillId="23" borderId="0" xfId="0" applyFont="1" applyFill="1" applyAlignment="1" applyProtection="1">
      <alignment horizontal="center" vertical="center"/>
      <protection hidden="1"/>
    </xf>
    <xf numFmtId="0" fontId="0" fillId="0" borderId="87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88" xfId="0" applyBorder="1" applyAlignment="1" applyProtection="1">
      <alignment/>
      <protection hidden="1"/>
    </xf>
    <xf numFmtId="0" fontId="18" fillId="42" borderId="0" xfId="0" applyFont="1" applyFill="1" applyAlignment="1" applyProtection="1">
      <alignment horizontal="center" vertical="center"/>
      <protection hidden="1"/>
    </xf>
    <xf numFmtId="0" fontId="27" fillId="25" borderId="93" xfId="0" applyFont="1" applyFill="1" applyBorder="1" applyAlignment="1" applyProtection="1">
      <alignment horizontal="right" vertical="center"/>
      <protection hidden="1"/>
    </xf>
    <xf numFmtId="191" fontId="55" fillId="25" borderId="94" xfId="0" applyNumberFormat="1" applyFont="1" applyFill="1" applyBorder="1" applyAlignment="1" applyProtection="1">
      <alignment horizontal="left" vertical="center"/>
      <protection hidden="1"/>
    </xf>
    <xf numFmtId="0" fontId="27" fillId="25" borderId="95" xfId="0" applyFont="1" applyFill="1" applyBorder="1" applyAlignment="1" applyProtection="1">
      <alignment horizontal="right" vertical="center"/>
      <protection hidden="1"/>
    </xf>
    <xf numFmtId="0" fontId="27" fillId="25" borderId="96" xfId="0" applyFont="1" applyFill="1" applyBorder="1" applyAlignment="1" applyProtection="1">
      <alignment horizontal="right" vertical="center"/>
      <protection hidden="1"/>
    </xf>
    <xf numFmtId="0" fontId="27" fillId="23" borderId="97" xfId="0" applyFont="1" applyFill="1" applyBorder="1" applyAlignment="1" applyProtection="1">
      <alignment horizontal="right" vertical="center"/>
      <protection hidden="1"/>
    </xf>
    <xf numFmtId="2" fontId="27" fillId="23" borderId="97" xfId="0" applyNumberFormat="1" applyFont="1" applyFill="1" applyBorder="1" applyAlignment="1" applyProtection="1">
      <alignment horizontal="left" vertical="center"/>
      <protection hidden="1"/>
    </xf>
    <xf numFmtId="0" fontId="18" fillId="43" borderId="0" xfId="0" applyFont="1" applyFill="1" applyAlignment="1" applyProtection="1">
      <alignment horizontal="center" vertical="center"/>
      <protection hidden="1"/>
    </xf>
    <xf numFmtId="0" fontId="0" fillId="0" borderId="87" xfId="0" applyBorder="1" applyAlignment="1" applyProtection="1">
      <alignment horizontal="left" indent="1"/>
      <protection hidden="1"/>
    </xf>
    <xf numFmtId="0" fontId="27" fillId="23" borderId="0" xfId="0" applyFont="1" applyFill="1" applyBorder="1" applyAlignment="1" applyProtection="1">
      <alignment horizontal="right" vertical="center"/>
      <protection hidden="1"/>
    </xf>
    <xf numFmtId="2" fontId="27" fillId="23" borderId="0" xfId="0" applyNumberFormat="1" applyFont="1" applyFill="1" applyBorder="1" applyAlignment="1" applyProtection="1">
      <alignment horizontal="left" vertical="center"/>
      <protection hidden="1"/>
    </xf>
    <xf numFmtId="0" fontId="0" fillId="0" borderId="90" xfId="0" applyBorder="1" applyAlignment="1" applyProtection="1">
      <alignment/>
      <protection hidden="1"/>
    </xf>
    <xf numFmtId="2" fontId="27" fillId="44" borderId="98" xfId="0" applyNumberFormat="1" applyFont="1" applyFill="1" applyBorder="1" applyAlignment="1" applyProtection="1">
      <alignment horizontal="left" vertical="center"/>
      <protection locked="0"/>
    </xf>
    <xf numFmtId="2" fontId="27" fillId="44" borderId="99" xfId="0" applyNumberFormat="1" applyFont="1" applyFill="1" applyBorder="1" applyAlignment="1" applyProtection="1">
      <alignment horizontal="left" vertical="center"/>
      <protection locked="0"/>
    </xf>
    <xf numFmtId="190" fontId="18" fillId="42" borderId="0" xfId="0" applyNumberFormat="1" applyFont="1" applyFill="1" applyAlignment="1" applyProtection="1">
      <alignment horizontal="left" vertical="center"/>
      <protection hidden="1"/>
    </xf>
    <xf numFmtId="191" fontId="18" fillId="43" borderId="0" xfId="0" applyNumberFormat="1" applyFont="1" applyFill="1" applyAlignment="1" applyProtection="1">
      <alignment horizontal="left" vertical="center"/>
      <protection hidden="1"/>
    </xf>
    <xf numFmtId="0" fontId="18" fillId="42" borderId="0" xfId="0" applyFont="1" applyFill="1" applyAlignment="1" applyProtection="1">
      <alignment horizontal="right" vertical="center"/>
      <protection hidden="1"/>
    </xf>
    <xf numFmtId="0" fontId="18" fillId="43" borderId="0" xfId="0" applyFont="1" applyFill="1" applyAlignment="1" applyProtection="1">
      <alignment horizontal="right" vertical="center"/>
      <protection hidden="1"/>
    </xf>
    <xf numFmtId="0" fontId="39" fillId="20" borderId="100" xfId="0" applyFont="1" applyFill="1" applyBorder="1" applyAlignment="1" applyProtection="1">
      <alignment vertical="center"/>
      <protection/>
    </xf>
    <xf numFmtId="0" fontId="56" fillId="23" borderId="101" xfId="0" applyFont="1" applyFill="1" applyBorder="1" applyAlignment="1" applyProtection="1">
      <alignment/>
      <protection/>
    </xf>
    <xf numFmtId="0" fontId="56" fillId="23" borderId="102" xfId="0" applyFont="1" applyFill="1" applyBorder="1" applyAlignment="1" applyProtection="1">
      <alignment/>
      <protection/>
    </xf>
    <xf numFmtId="0" fontId="57" fillId="20" borderId="100" xfId="0" applyFont="1" applyFill="1" applyBorder="1" applyAlignment="1" applyProtection="1">
      <alignment horizontal="right" vertical="center"/>
      <protection/>
    </xf>
    <xf numFmtId="0" fontId="57" fillId="20" borderId="101" xfId="0" applyFont="1" applyFill="1" applyBorder="1" applyAlignment="1" applyProtection="1">
      <alignment horizontal="right" vertical="center"/>
      <protection/>
    </xf>
    <xf numFmtId="0" fontId="57" fillId="20" borderId="102" xfId="0" applyFont="1" applyFill="1" applyBorder="1" applyAlignment="1" applyProtection="1">
      <alignment horizontal="right" vertical="center"/>
      <protection/>
    </xf>
    <xf numFmtId="188" fontId="39" fillId="20" borderId="103" xfId="0" applyNumberFormat="1" applyFont="1" applyFill="1" applyBorder="1" applyAlignment="1" applyProtection="1">
      <alignment vertical="center"/>
      <protection/>
    </xf>
    <xf numFmtId="188" fontId="39" fillId="20" borderId="104" xfId="0" applyNumberFormat="1" applyFont="1" applyFill="1" applyBorder="1" applyAlignment="1" applyProtection="1">
      <alignment vertical="center"/>
      <protection/>
    </xf>
    <xf numFmtId="0" fontId="56" fillId="20" borderId="104" xfId="0" applyFont="1" applyFill="1" applyBorder="1" applyAlignment="1" applyProtection="1">
      <alignment/>
      <protection/>
    </xf>
    <xf numFmtId="188" fontId="39" fillId="20" borderId="105" xfId="0" applyNumberFormat="1" applyFont="1" applyFill="1" applyBorder="1" applyAlignment="1" applyProtection="1">
      <alignment vertical="center"/>
      <protection/>
    </xf>
    <xf numFmtId="0" fontId="39" fillId="45" borderId="10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0" fillId="0" borderId="88" xfId="0" applyBorder="1" applyAlignment="1" applyProtection="1">
      <alignment/>
      <protection/>
    </xf>
    <xf numFmtId="0" fontId="57" fillId="45" borderId="100" xfId="0" applyFont="1" applyFill="1" applyBorder="1" applyAlignment="1" applyProtection="1">
      <alignment horizontal="right" vertical="center"/>
      <protection/>
    </xf>
    <xf numFmtId="0" fontId="57" fillId="45" borderId="101" xfId="0" applyFont="1" applyFill="1" applyBorder="1" applyAlignment="1" applyProtection="1">
      <alignment horizontal="right" vertical="center"/>
      <protection/>
    </xf>
    <xf numFmtId="0" fontId="57" fillId="45" borderId="102" xfId="0" applyFont="1" applyFill="1" applyBorder="1" applyAlignment="1" applyProtection="1">
      <alignment horizontal="right" vertical="center"/>
      <protection/>
    </xf>
    <xf numFmtId="188" fontId="39" fillId="45" borderId="103" xfId="0" applyNumberFormat="1" applyFont="1" applyFill="1" applyBorder="1" applyAlignment="1" applyProtection="1">
      <alignment vertical="center"/>
      <protection/>
    </xf>
    <xf numFmtId="188" fontId="39" fillId="45" borderId="104" xfId="0" applyNumberFormat="1" applyFont="1" applyFill="1" applyBorder="1" applyAlignment="1" applyProtection="1">
      <alignment vertical="center"/>
      <protection/>
    </xf>
    <xf numFmtId="0" fontId="56" fillId="45" borderId="104" xfId="0" applyFont="1" applyFill="1" applyBorder="1" applyAlignment="1" applyProtection="1">
      <alignment/>
      <protection/>
    </xf>
    <xf numFmtId="188" fontId="39" fillId="45" borderId="105" xfId="0" applyNumberFormat="1" applyFont="1" applyFill="1" applyBorder="1" applyAlignment="1" applyProtection="1">
      <alignment vertical="center"/>
      <protection/>
    </xf>
    <xf numFmtId="0" fontId="39" fillId="46" borderId="100" xfId="0" applyFont="1" applyFill="1" applyBorder="1" applyAlignment="1" applyProtection="1">
      <alignment vertical="center"/>
      <protection/>
    </xf>
    <xf numFmtId="0" fontId="57" fillId="46" borderId="100" xfId="0" applyFont="1" applyFill="1" applyBorder="1" applyAlignment="1" applyProtection="1">
      <alignment horizontal="right" vertical="center"/>
      <protection/>
    </xf>
    <xf numFmtId="0" fontId="57" fillId="46" borderId="101" xfId="0" applyFont="1" applyFill="1" applyBorder="1" applyAlignment="1" applyProtection="1">
      <alignment horizontal="right" vertical="center"/>
      <protection/>
    </xf>
    <xf numFmtId="0" fontId="57" fillId="46" borderId="101" xfId="0" applyFont="1" applyFill="1" applyBorder="1" applyAlignment="1" applyProtection="1">
      <alignment horizontal="right" vertical="center" shrinkToFit="1"/>
      <protection/>
    </xf>
    <xf numFmtId="0" fontId="57" fillId="46" borderId="102" xfId="0" applyFont="1" applyFill="1" applyBorder="1" applyAlignment="1" applyProtection="1">
      <alignment horizontal="right" vertical="center"/>
      <protection/>
    </xf>
    <xf numFmtId="188" fontId="39" fillId="46" borderId="103" xfId="0" applyNumberFormat="1" applyFont="1" applyFill="1" applyBorder="1" applyAlignment="1" applyProtection="1">
      <alignment vertical="center"/>
      <protection/>
    </xf>
    <xf numFmtId="188" fontId="39" fillId="46" borderId="104" xfId="0" applyNumberFormat="1" applyFont="1" applyFill="1" applyBorder="1" applyAlignment="1" applyProtection="1">
      <alignment vertical="center"/>
      <protection/>
    </xf>
    <xf numFmtId="0" fontId="56" fillId="46" borderId="104" xfId="0" applyFont="1" applyFill="1" applyBorder="1" applyAlignment="1" applyProtection="1">
      <alignment/>
      <protection/>
    </xf>
    <xf numFmtId="188" fontId="39" fillId="46" borderId="105" xfId="0" applyNumberFormat="1" applyFont="1" applyFill="1" applyBorder="1" applyAlignment="1" applyProtection="1">
      <alignment vertical="center"/>
      <protection/>
    </xf>
    <xf numFmtId="0" fontId="39" fillId="42" borderId="100" xfId="0" applyFont="1" applyFill="1" applyBorder="1" applyAlignment="1" applyProtection="1">
      <alignment vertical="center" wrapText="1"/>
      <protection/>
    </xf>
    <xf numFmtId="0" fontId="57" fillId="42" borderId="100" xfId="0" applyFont="1" applyFill="1" applyBorder="1" applyAlignment="1" applyProtection="1">
      <alignment horizontal="right" vertical="center"/>
      <protection/>
    </xf>
    <xf numFmtId="0" fontId="57" fillId="42" borderId="101" xfId="0" applyFont="1" applyFill="1" applyBorder="1" applyAlignment="1" applyProtection="1">
      <alignment horizontal="right" vertical="center"/>
      <protection/>
    </xf>
    <xf numFmtId="0" fontId="57" fillId="42" borderId="101" xfId="0" applyFont="1" applyFill="1" applyBorder="1" applyAlignment="1" applyProtection="1">
      <alignment horizontal="right" vertical="center" shrinkToFit="1"/>
      <protection/>
    </xf>
    <xf numFmtId="0" fontId="57" fillId="42" borderId="102" xfId="0" applyFont="1" applyFill="1" applyBorder="1" applyAlignment="1" applyProtection="1">
      <alignment horizontal="right" vertical="center"/>
      <protection/>
    </xf>
    <xf numFmtId="188" fontId="39" fillId="42" borderId="103" xfId="0" applyNumberFormat="1" applyFont="1" applyFill="1" applyBorder="1" applyAlignment="1" applyProtection="1">
      <alignment vertical="center"/>
      <protection/>
    </xf>
    <xf numFmtId="188" fontId="39" fillId="42" borderId="104" xfId="0" applyNumberFormat="1" applyFont="1" applyFill="1" applyBorder="1" applyAlignment="1" applyProtection="1">
      <alignment vertical="center"/>
      <protection/>
    </xf>
    <xf numFmtId="0" fontId="56" fillId="42" borderId="104" xfId="0" applyFont="1" applyFill="1" applyBorder="1" applyAlignment="1" applyProtection="1">
      <alignment/>
      <protection/>
    </xf>
    <xf numFmtId="188" fontId="39" fillId="42" borderId="105" xfId="0" applyNumberFormat="1" applyFont="1" applyFill="1" applyBorder="1" applyAlignment="1" applyProtection="1">
      <alignment vertical="center"/>
      <protection/>
    </xf>
    <xf numFmtId="0" fontId="39" fillId="47" borderId="100" xfId="0" applyFont="1" applyFill="1" applyBorder="1" applyAlignment="1" applyProtection="1">
      <alignment vertical="center" wrapText="1"/>
      <protection/>
    </xf>
    <xf numFmtId="0" fontId="57" fillId="47" borderId="100" xfId="0" applyFont="1" applyFill="1" applyBorder="1" applyAlignment="1" applyProtection="1">
      <alignment horizontal="right" vertical="center"/>
      <protection/>
    </xf>
    <xf numFmtId="0" fontId="57" fillId="47" borderId="101" xfId="0" applyFont="1" applyFill="1" applyBorder="1" applyAlignment="1" applyProtection="1">
      <alignment horizontal="right" vertical="center"/>
      <protection/>
    </xf>
    <xf numFmtId="0" fontId="57" fillId="47" borderId="101" xfId="0" applyFont="1" applyFill="1" applyBorder="1" applyAlignment="1" applyProtection="1">
      <alignment horizontal="right" vertical="center" shrinkToFit="1"/>
      <protection/>
    </xf>
    <xf numFmtId="0" fontId="57" fillId="47" borderId="102" xfId="0" applyFont="1" applyFill="1" applyBorder="1" applyAlignment="1" applyProtection="1">
      <alignment horizontal="right" vertical="center"/>
      <protection/>
    </xf>
    <xf numFmtId="188" fontId="39" fillId="47" borderId="103" xfId="0" applyNumberFormat="1" applyFont="1" applyFill="1" applyBorder="1" applyAlignment="1" applyProtection="1">
      <alignment vertical="center"/>
      <protection/>
    </xf>
    <xf numFmtId="188" fontId="39" fillId="47" borderId="104" xfId="0" applyNumberFormat="1" applyFont="1" applyFill="1" applyBorder="1" applyAlignment="1" applyProtection="1">
      <alignment vertical="center"/>
      <protection/>
    </xf>
    <xf numFmtId="188" fontId="39" fillId="47" borderId="105" xfId="0" applyNumberFormat="1" applyFont="1" applyFill="1" applyBorder="1" applyAlignment="1" applyProtection="1">
      <alignment vertical="center"/>
      <protection/>
    </xf>
    <xf numFmtId="0" fontId="39" fillId="45" borderId="100" xfId="0" applyFont="1" applyFill="1" applyBorder="1" applyAlignment="1" applyProtection="1">
      <alignment vertical="center" wrapText="1"/>
      <protection/>
    </xf>
    <xf numFmtId="0" fontId="57" fillId="45" borderId="101" xfId="0" applyFont="1" applyFill="1" applyBorder="1" applyAlignment="1" applyProtection="1">
      <alignment horizontal="right" vertical="center" shrinkToFit="1"/>
      <protection/>
    </xf>
    <xf numFmtId="0" fontId="39" fillId="25" borderId="100" xfId="0" applyFont="1" applyFill="1" applyBorder="1" applyAlignment="1" applyProtection="1">
      <alignment vertical="center" wrapText="1"/>
      <protection/>
    </xf>
    <xf numFmtId="0" fontId="57" fillId="25" borderId="100" xfId="0" applyFont="1" applyFill="1" applyBorder="1" applyAlignment="1" applyProtection="1">
      <alignment horizontal="right" vertical="center"/>
      <protection/>
    </xf>
    <xf numFmtId="0" fontId="57" fillId="25" borderId="101" xfId="0" applyFont="1" applyFill="1" applyBorder="1" applyAlignment="1" applyProtection="1">
      <alignment horizontal="right" vertical="center"/>
      <protection/>
    </xf>
    <xf numFmtId="0" fontId="57" fillId="25" borderId="101" xfId="0" applyFont="1" applyFill="1" applyBorder="1" applyAlignment="1" applyProtection="1">
      <alignment horizontal="right" vertical="center" shrinkToFit="1"/>
      <protection/>
    </xf>
    <xf numFmtId="0" fontId="57" fillId="25" borderId="102" xfId="0" applyFont="1" applyFill="1" applyBorder="1" applyAlignment="1" applyProtection="1">
      <alignment horizontal="right" vertical="center"/>
      <protection/>
    </xf>
    <xf numFmtId="188" fontId="39" fillId="25" borderId="106" xfId="0" applyNumberFormat="1" applyFont="1" applyFill="1" applyBorder="1" applyAlignment="1" applyProtection="1">
      <alignment vertical="center"/>
      <protection/>
    </xf>
    <xf numFmtId="0" fontId="23" fillId="0" borderId="8" xfId="0" applyFont="1" applyFill="1" applyBorder="1" applyAlignment="1" applyProtection="1">
      <alignment vertical="top" wrapText="1"/>
      <protection/>
    </xf>
    <xf numFmtId="9" fontId="22" fillId="0" borderId="107" xfId="0" applyNumberFormat="1" applyFont="1" applyFill="1" applyBorder="1" applyAlignment="1" applyProtection="1">
      <alignment horizontal="center" vertical="center" wrapText="1"/>
      <protection hidden="1"/>
    </xf>
    <xf numFmtId="9" fontId="22" fillId="0" borderId="65" xfId="0" applyNumberFormat="1" applyFont="1" applyFill="1" applyBorder="1" applyAlignment="1" applyProtection="1">
      <alignment horizontal="center" vertical="center" wrapText="1"/>
      <protection hidden="1"/>
    </xf>
    <xf numFmtId="9" fontId="22" fillId="0" borderId="66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55" xfId="0" applyNumberFormat="1" applyFill="1" applyBorder="1" applyAlignment="1" applyProtection="1">
      <alignment vertical="top"/>
      <protection/>
    </xf>
    <xf numFmtId="0" fontId="0" fillId="0" borderId="50" xfId="0" applyNumberFormat="1" applyFont="1" applyFill="1" applyBorder="1" applyAlignment="1" applyProtection="1">
      <alignment vertical="top"/>
      <protection/>
    </xf>
    <xf numFmtId="0" fontId="19" fillId="0" borderId="108" xfId="0" applyNumberFormat="1" applyFont="1" applyFill="1" applyBorder="1" applyAlignment="1" applyProtection="1">
      <alignment horizontal="left" vertical="center"/>
      <protection/>
    </xf>
    <xf numFmtId="188" fontId="39" fillId="25" borderId="109" xfId="0" applyNumberFormat="1" applyFont="1" applyFill="1" applyBorder="1" applyAlignment="1" applyProtection="1">
      <alignment vertical="center"/>
      <protection/>
    </xf>
    <xf numFmtId="188" fontId="39" fillId="25" borderId="110" xfId="0" applyNumberFormat="1" applyFont="1" applyFill="1" applyBorder="1" applyAlignment="1" applyProtection="1">
      <alignment vertical="center"/>
      <protection/>
    </xf>
    <xf numFmtId="0" fontId="43" fillId="0" borderId="0" xfId="0" applyNumberFormat="1" applyFont="1" applyFill="1" applyBorder="1" applyAlignment="1" applyProtection="1">
      <alignment/>
      <protection/>
    </xf>
    <xf numFmtId="2" fontId="43" fillId="0" borderId="0" xfId="0" applyNumberFormat="1" applyFont="1" applyFill="1" applyBorder="1" applyAlignment="1" applyProtection="1">
      <alignment horizontal="right" vertical="center"/>
      <protection/>
    </xf>
    <xf numFmtId="0" fontId="43" fillId="0" borderId="0" xfId="0" applyNumberFormat="1" applyFont="1" applyFill="1" applyBorder="1" applyAlignment="1" applyProtection="1">
      <alignment horizontal="center"/>
      <protection/>
    </xf>
    <xf numFmtId="0" fontId="46" fillId="0" borderId="0" xfId="0" applyNumberFormat="1" applyFont="1" applyFill="1" applyBorder="1" applyAlignment="1" applyProtection="1">
      <alignment/>
      <protection/>
    </xf>
    <xf numFmtId="1" fontId="47" fillId="0" borderId="0" xfId="0" applyNumberFormat="1" applyFont="1" applyFill="1" applyBorder="1" applyAlignment="1" applyProtection="1">
      <alignment horizontal="left" vertical="center"/>
      <protection/>
    </xf>
    <xf numFmtId="0" fontId="47" fillId="0" borderId="0" xfId="0" applyNumberFormat="1" applyFont="1" applyFill="1" applyBorder="1" applyAlignment="1" applyProtection="1">
      <alignment vertical="center"/>
      <protection/>
    </xf>
    <xf numFmtId="2" fontId="47" fillId="0" borderId="0" xfId="0" applyNumberFormat="1" applyFont="1" applyFill="1" applyBorder="1" applyAlignment="1" applyProtection="1">
      <alignment horizontal="right" vertical="center"/>
      <protection/>
    </xf>
    <xf numFmtId="2" fontId="43" fillId="44" borderId="33" xfId="0" applyNumberFormat="1" applyFont="1" applyFill="1" applyBorder="1" applyAlignment="1" applyProtection="1">
      <alignment horizontal="center" vertical="center"/>
      <protection locked="0"/>
    </xf>
    <xf numFmtId="2" fontId="43" fillId="0" borderId="0" xfId="0" applyNumberFormat="1" applyFont="1" applyFill="1" applyBorder="1" applyAlignment="1" applyProtection="1">
      <alignment vertical="center"/>
      <protection/>
    </xf>
    <xf numFmtId="0" fontId="43" fillId="0" borderId="0" xfId="0" applyNumberFormat="1" applyFont="1" applyFill="1" applyBorder="1" applyAlignment="1" applyProtection="1">
      <alignment vertical="center"/>
      <protection/>
    </xf>
    <xf numFmtId="1" fontId="45" fillId="0" borderId="0" xfId="0" applyNumberFormat="1" applyFont="1" applyFill="1" applyBorder="1" applyAlignment="1" applyProtection="1">
      <alignment horizontal="center" vertical="center"/>
      <protection locked="0"/>
    </xf>
    <xf numFmtId="0" fontId="45" fillId="0" borderId="0" xfId="0" applyNumberFormat="1" applyFont="1" applyFill="1" applyBorder="1" applyAlignment="1" applyProtection="1">
      <alignment vertical="center"/>
      <protection/>
    </xf>
    <xf numFmtId="2" fontId="45" fillId="0" borderId="0" xfId="0" applyNumberFormat="1" applyFont="1" applyFill="1" applyBorder="1" applyAlignment="1" applyProtection="1">
      <alignment horizontal="right" vertical="center"/>
      <protection/>
    </xf>
    <xf numFmtId="0" fontId="45" fillId="0" borderId="0" xfId="0" applyNumberFormat="1" applyFont="1" applyFill="1" applyBorder="1" applyAlignment="1" applyProtection="1">
      <alignment horizontal="right" vertical="center"/>
      <protection/>
    </xf>
    <xf numFmtId="2" fontId="45" fillId="0" borderId="11" xfId="0" applyNumberFormat="1" applyFont="1" applyFill="1" applyBorder="1" applyAlignment="1" applyProtection="1">
      <alignment horizontal="right" vertical="center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196" fontId="27" fillId="0" borderId="0" xfId="0" applyNumberFormat="1" applyFont="1" applyFill="1" applyBorder="1" applyAlignment="1" applyProtection="1">
      <alignment horizontal="left"/>
      <protection/>
    </xf>
    <xf numFmtId="2" fontId="0" fillId="0" borderId="0" xfId="0" applyNumberFormat="1" applyFont="1" applyFill="1" applyBorder="1" applyAlignment="1" applyProtection="1">
      <alignment horizontal="right" vertical="center"/>
      <protection/>
    </xf>
    <xf numFmtId="2" fontId="0" fillId="44" borderId="33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NumberFormat="1" applyFont="1" applyFill="1" applyBorder="1" applyAlignment="1" applyProtection="1">
      <alignment horizontal="right" vertical="center"/>
      <protection/>
    </xf>
    <xf numFmtId="2" fontId="19" fillId="20" borderId="76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2" fontId="20" fillId="20" borderId="76" xfId="0" applyNumberFormat="1" applyFont="1" applyFill="1" applyBorder="1" applyAlignment="1" applyProtection="1">
      <alignment horizontal="right" vertical="center"/>
      <protection/>
    </xf>
    <xf numFmtId="0" fontId="45" fillId="0" borderId="0" xfId="0" applyNumberFormat="1" applyFont="1" applyFill="1" applyBorder="1" applyAlignment="1" applyProtection="1">
      <alignment/>
      <protection/>
    </xf>
    <xf numFmtId="0" fontId="45" fillId="0" borderId="0" xfId="0" applyNumberFormat="1" applyFont="1" applyFill="1" applyBorder="1" applyAlignment="1" applyProtection="1">
      <alignment horizontal="center"/>
      <protection/>
    </xf>
    <xf numFmtId="2" fontId="45" fillId="20" borderId="76" xfId="0" applyNumberFormat="1" applyFont="1" applyFill="1" applyBorder="1" applyAlignment="1" applyProtection="1">
      <alignment horizontal="right" vertical="center"/>
      <protection/>
    </xf>
    <xf numFmtId="49" fontId="45" fillId="20" borderId="33" xfId="0" applyNumberFormat="1" applyFont="1" applyFill="1" applyBorder="1" applyAlignment="1" applyProtection="1">
      <alignment horizontal="center"/>
      <protection/>
    </xf>
    <xf numFmtId="2" fontId="44" fillId="0" borderId="0" xfId="0" applyNumberFormat="1" applyFont="1" applyFill="1" applyBorder="1" applyAlignment="1" applyProtection="1">
      <alignment horizontal="right" vertical="center"/>
      <protection/>
    </xf>
    <xf numFmtId="2" fontId="27" fillId="20" borderId="76" xfId="0" applyNumberFormat="1" applyFont="1" applyFill="1" applyBorder="1" applyAlignment="1" applyProtection="1">
      <alignment horizontal="center" vertical="center"/>
      <protection/>
    </xf>
    <xf numFmtId="2" fontId="36" fillId="20" borderId="76" xfId="0" applyNumberFormat="1" applyFont="1" applyFill="1" applyBorder="1" applyAlignment="1" applyProtection="1">
      <alignment horizontal="center" vertical="center"/>
      <protection/>
    </xf>
    <xf numFmtId="2" fontId="0" fillId="23" borderId="0" xfId="0" applyNumberFormat="1" applyFont="1" applyFill="1" applyBorder="1" applyAlignment="1" applyProtection="1">
      <alignment horizontal="center" vertical="center"/>
      <protection locked="0"/>
    </xf>
    <xf numFmtId="2" fontId="45" fillId="23" borderId="0" xfId="0" applyNumberFormat="1" applyFont="1" applyFill="1" applyBorder="1" applyAlignment="1" applyProtection="1">
      <alignment horizontal="right" vertical="center"/>
      <protection/>
    </xf>
    <xf numFmtId="1" fontId="19" fillId="20" borderId="76" xfId="0" applyNumberFormat="1" applyFont="1" applyFill="1" applyBorder="1" applyAlignment="1" applyProtection="1">
      <alignment horizontal="right" vertical="center"/>
      <protection/>
    </xf>
    <xf numFmtId="0" fontId="19" fillId="20" borderId="33" xfId="0" applyNumberFormat="1" applyFont="1" applyFill="1" applyBorder="1" applyAlignment="1" applyProtection="1">
      <alignment vertical="center"/>
      <protection/>
    </xf>
    <xf numFmtId="2" fontId="27" fillId="10" borderId="70" xfId="0" applyNumberFormat="1" applyFont="1" applyFill="1" applyBorder="1" applyAlignment="1" applyProtection="1">
      <alignment horizontal="center"/>
      <protection hidden="1"/>
    </xf>
    <xf numFmtId="2" fontId="27" fillId="10" borderId="72" xfId="0" applyNumberFormat="1" applyFont="1" applyFill="1" applyBorder="1" applyAlignment="1" applyProtection="1">
      <alignment horizontal="center"/>
      <protection hidden="1"/>
    </xf>
    <xf numFmtId="2" fontId="27" fillId="2" borderId="74" xfId="0" applyNumberFormat="1" applyFont="1" applyFill="1" applyBorder="1" applyAlignment="1" applyProtection="1">
      <alignment horizontal="center"/>
      <protection hidden="1"/>
    </xf>
    <xf numFmtId="2" fontId="27" fillId="31" borderId="70" xfId="0" applyNumberFormat="1" applyFont="1" applyFill="1" applyBorder="1" applyAlignment="1" applyProtection="1">
      <alignment horizontal="center"/>
      <protection hidden="1"/>
    </xf>
    <xf numFmtId="2" fontId="27" fillId="31" borderId="72" xfId="0" applyNumberFormat="1" applyFont="1" applyFill="1" applyBorder="1" applyAlignment="1" applyProtection="1">
      <alignment horizontal="center"/>
      <protection hidden="1"/>
    </xf>
    <xf numFmtId="2" fontId="27" fillId="33" borderId="70" xfId="0" applyNumberFormat="1" applyFont="1" applyFill="1" applyBorder="1" applyAlignment="1" applyProtection="1">
      <alignment horizontal="center"/>
      <protection hidden="1"/>
    </xf>
    <xf numFmtId="2" fontId="27" fillId="33" borderId="72" xfId="0" applyNumberFormat="1" applyFont="1" applyFill="1" applyBorder="1" applyAlignment="1" applyProtection="1">
      <alignment horizontal="center"/>
      <protection hidden="1"/>
    </xf>
    <xf numFmtId="2" fontId="27" fillId="33" borderId="75" xfId="0" applyNumberFormat="1" applyFont="1" applyFill="1" applyBorder="1" applyAlignment="1" applyProtection="1">
      <alignment horizontal="center"/>
      <protection hidden="1"/>
    </xf>
    <xf numFmtId="2" fontId="31" fillId="21" borderId="7" xfId="0" applyNumberFormat="1" applyFont="1" applyFill="1" applyBorder="1" applyAlignment="1" applyProtection="1">
      <alignment horizontal="center" vertical="center" wrapText="1"/>
      <protection/>
    </xf>
    <xf numFmtId="49" fontId="27" fillId="25" borderId="7" xfId="0" applyNumberFormat="1" applyFont="1" applyFill="1" applyBorder="1" applyAlignment="1" applyProtection="1">
      <alignment horizontal="center" vertical="center" wrapText="1"/>
      <protection hidden="1"/>
    </xf>
    <xf numFmtId="2" fontId="19" fillId="18" borderId="14" xfId="0" applyNumberFormat="1" applyFont="1" applyFill="1" applyBorder="1" applyAlignment="1" applyProtection="1">
      <alignment horizontal="center" vertical="center"/>
      <protection locked="0"/>
    </xf>
    <xf numFmtId="2" fontId="36" fillId="27" borderId="14" xfId="0" applyNumberFormat="1" applyFont="1" applyFill="1" applyBorder="1" applyAlignment="1" applyProtection="1">
      <alignment horizontal="center" vertical="center"/>
      <protection hidden="1"/>
    </xf>
    <xf numFmtId="0" fontId="0" fillId="0" borderId="111" xfId="0" applyFill="1" applyBorder="1" applyAlignment="1" applyProtection="1">
      <alignment/>
      <protection hidden="1"/>
    </xf>
    <xf numFmtId="49" fontId="27" fillId="25" borderId="112" xfId="0" applyNumberFormat="1" applyFont="1" applyFill="1" applyBorder="1" applyAlignment="1" applyProtection="1">
      <alignment horizontal="center" vertical="center" wrapText="1"/>
      <protection hidden="1"/>
    </xf>
    <xf numFmtId="0" fontId="19" fillId="18" borderId="113" xfId="0" applyFont="1" applyFill="1" applyBorder="1" applyAlignment="1" applyProtection="1">
      <alignment horizontal="center" vertical="center"/>
      <protection locked="0"/>
    </xf>
    <xf numFmtId="0" fontId="19" fillId="0" borderId="14" xfId="0" applyNumberFormat="1" applyFont="1" applyFill="1" applyBorder="1" applyAlignment="1" applyProtection="1">
      <alignment horizontal="center" vertical="center"/>
      <protection hidden="1"/>
    </xf>
    <xf numFmtId="191" fontId="19" fillId="0" borderId="14" xfId="0" applyNumberFormat="1" applyFont="1" applyFill="1" applyBorder="1" applyAlignment="1" applyProtection="1">
      <alignment horizontal="center" vertical="center"/>
      <protection hidden="1"/>
    </xf>
    <xf numFmtId="0" fontId="0" fillId="0" borderId="111" xfId="0" applyBorder="1" applyAlignment="1" applyProtection="1">
      <alignment/>
      <protection hidden="1"/>
    </xf>
    <xf numFmtId="0" fontId="0" fillId="0" borderId="114" xfId="0" applyBorder="1" applyAlignment="1" applyProtection="1">
      <alignment/>
      <protection hidden="1"/>
    </xf>
    <xf numFmtId="0" fontId="0" fillId="0" borderId="115" xfId="0" applyBorder="1" applyAlignment="1" applyProtection="1">
      <alignment/>
      <protection hidden="1"/>
    </xf>
    <xf numFmtId="0" fontId="36" fillId="25" borderId="0" xfId="0" applyFont="1" applyFill="1" applyAlignment="1" applyProtection="1">
      <alignment horizontal="center" vertical="center"/>
      <protection/>
    </xf>
    <xf numFmtId="0" fontId="27" fillId="0" borderId="56" xfId="0" applyFont="1" applyBorder="1" applyAlignment="1" applyProtection="1">
      <alignment horizontal="center" textRotation="90" wrapText="1"/>
      <protection hidden="1"/>
    </xf>
    <xf numFmtId="2" fontId="19" fillId="27" borderId="14" xfId="0" applyNumberFormat="1" applyFont="1" applyFill="1" applyBorder="1" applyAlignment="1" applyProtection="1">
      <alignment horizontal="center" vertical="center"/>
      <protection hidden="1"/>
    </xf>
    <xf numFmtId="2" fontId="27" fillId="18" borderId="52" xfId="0" applyNumberFormat="1" applyFont="1" applyFill="1" applyBorder="1" applyAlignment="1" applyProtection="1">
      <alignment horizontal="center" vertical="center"/>
      <protection locked="0"/>
    </xf>
    <xf numFmtId="0" fontId="0" fillId="0" borderId="87" xfId="0" applyBorder="1" applyAlignment="1" applyProtection="1">
      <alignment/>
      <protection/>
    </xf>
    <xf numFmtId="0" fontId="27" fillId="25" borderId="0" xfId="0" applyFont="1" applyFill="1" applyBorder="1" applyAlignment="1" applyProtection="1">
      <alignment horizontal="center" vertical="center"/>
      <protection/>
    </xf>
    <xf numFmtId="0" fontId="0" fillId="0" borderId="87" xfId="0" applyBorder="1" applyAlignment="1" applyProtection="1">
      <alignment horizontal="center" vertical="center"/>
      <protection/>
    </xf>
    <xf numFmtId="0" fontId="0" fillId="0" borderId="92" xfId="0" applyBorder="1" applyAlignment="1" applyProtection="1">
      <alignment/>
      <protection/>
    </xf>
    <xf numFmtId="0" fontId="0" fillId="0" borderId="90" xfId="0" applyBorder="1" applyAlignment="1" applyProtection="1">
      <alignment/>
      <protection/>
    </xf>
    <xf numFmtId="0" fontId="36" fillId="25" borderId="85" xfId="0" applyFont="1" applyFill="1" applyBorder="1" applyAlignment="1" applyProtection="1">
      <alignment horizontal="left" vertical="center"/>
      <protection/>
    </xf>
    <xf numFmtId="0" fontId="0" fillId="25" borderId="91" xfId="0" applyFill="1" applyBorder="1" applyAlignment="1" applyProtection="1">
      <alignment/>
      <protection/>
    </xf>
    <xf numFmtId="0" fontId="0" fillId="25" borderId="91" xfId="0" applyFill="1" applyBorder="1" applyAlignment="1" applyProtection="1">
      <alignment/>
      <protection/>
    </xf>
    <xf numFmtId="0" fontId="0" fillId="25" borderId="86" xfId="0" applyFill="1" applyBorder="1" applyAlignment="1" applyProtection="1">
      <alignment/>
      <protection/>
    </xf>
    <xf numFmtId="2" fontId="27" fillId="18" borderId="116" xfId="0" applyNumberFormat="1" applyFont="1" applyFill="1" applyBorder="1" applyAlignment="1" applyProtection="1">
      <alignment horizontal="center" vertical="center"/>
      <protection locked="0"/>
    </xf>
    <xf numFmtId="0" fontId="36" fillId="41" borderId="117" xfId="0" applyFont="1" applyFill="1" applyBorder="1" applyAlignment="1" applyProtection="1">
      <alignment horizontal="right"/>
      <protection/>
    </xf>
    <xf numFmtId="191" fontId="36" fillId="41" borderId="118" xfId="0" applyNumberFormat="1" applyFont="1" applyFill="1" applyBorder="1" applyAlignment="1" applyProtection="1">
      <alignment horizontal="right"/>
      <protection/>
    </xf>
    <xf numFmtId="2" fontId="27" fillId="48" borderId="12" xfId="0" applyNumberFormat="1" applyFont="1" applyFill="1" applyBorder="1" applyAlignment="1" applyProtection="1">
      <alignment horizontal="center" vertical="center"/>
      <protection/>
    </xf>
    <xf numFmtId="0" fontId="40" fillId="20" borderId="0" xfId="0" applyFont="1" applyFill="1" applyAlignment="1">
      <alignment/>
    </xf>
    <xf numFmtId="0" fontId="0" fillId="20" borderId="0" xfId="0" applyFill="1" applyAlignment="1">
      <alignment/>
    </xf>
    <xf numFmtId="10" fontId="0" fillId="20" borderId="0" xfId="0" applyNumberFormat="1" applyFill="1" applyAlignment="1">
      <alignment/>
    </xf>
    <xf numFmtId="0" fontId="31" fillId="41" borderId="7" xfId="0" applyFont="1" applyFill="1" applyBorder="1" applyAlignment="1" applyProtection="1">
      <alignment horizontal="center" vertical="center" wrapText="1"/>
      <protection locked="0"/>
    </xf>
    <xf numFmtId="10" fontId="19" fillId="0" borderId="7" xfId="0" applyNumberFormat="1" applyFont="1" applyBorder="1" applyAlignment="1" applyProtection="1">
      <alignment horizontal="center"/>
      <protection locked="0"/>
    </xf>
    <xf numFmtId="10" fontId="19" fillId="0" borderId="7" xfId="0" applyNumberFormat="1" applyFont="1" applyFill="1" applyBorder="1" applyAlignment="1" applyProtection="1">
      <alignment horizontal="center" vertical="center" wrapText="1"/>
      <protection hidden="1"/>
    </xf>
    <xf numFmtId="10" fontId="33" fillId="34" borderId="7" xfId="0" applyNumberFormat="1" applyFont="1" applyFill="1" applyBorder="1" applyAlignment="1" applyProtection="1">
      <alignment horizontal="center"/>
      <protection hidden="1"/>
    </xf>
    <xf numFmtId="9" fontId="31" fillId="0" borderId="7" xfId="0" applyNumberFormat="1" applyFont="1" applyFill="1" applyBorder="1" applyAlignment="1" applyProtection="1">
      <alignment horizontal="center" vertical="center" wrapText="1"/>
      <protection/>
    </xf>
    <xf numFmtId="10" fontId="32" fillId="0" borderId="7" xfId="0" applyNumberFormat="1" applyFont="1" applyFill="1" applyBorder="1" applyAlignment="1" applyProtection="1">
      <alignment horizontal="center" vertical="top" wrapText="1"/>
      <protection/>
    </xf>
    <xf numFmtId="10" fontId="27" fillId="18" borderId="52" xfId="0" applyNumberFormat="1" applyFont="1" applyFill="1" applyBorder="1" applyAlignment="1" applyProtection="1">
      <alignment horizontal="center" vertical="center"/>
      <protection locked="0"/>
    </xf>
    <xf numFmtId="9" fontId="22" fillId="0" borderId="57" xfId="0" applyNumberFormat="1" applyFont="1" applyFill="1" applyBorder="1" applyAlignment="1" applyProtection="1">
      <alignment horizontal="center" vertical="center" wrapText="1"/>
      <protection hidden="1"/>
    </xf>
    <xf numFmtId="9" fontId="22" fillId="0" borderId="30" xfId="0" applyNumberFormat="1" applyFont="1" applyFill="1" applyBorder="1" applyAlignment="1" applyProtection="1">
      <alignment horizontal="center" vertical="center" wrapText="1"/>
      <protection hidden="1"/>
    </xf>
    <xf numFmtId="0" fontId="23" fillId="0" borderId="12" xfId="0" applyFont="1" applyFill="1" applyBorder="1" applyAlignment="1" applyProtection="1">
      <alignment vertical="top" wrapText="1"/>
      <protection/>
    </xf>
    <xf numFmtId="0" fontId="23" fillId="0" borderId="7" xfId="0" applyFont="1" applyFill="1" applyBorder="1" applyAlignment="1" applyProtection="1">
      <alignment vertical="top" wrapText="1"/>
      <protection/>
    </xf>
    <xf numFmtId="9" fontId="22" fillId="0" borderId="10" xfId="0" applyNumberFormat="1" applyFont="1" applyFill="1" applyBorder="1" applyAlignment="1" applyProtection="1">
      <alignment horizontal="center" vertical="center" wrapText="1"/>
      <protection hidden="1"/>
    </xf>
    <xf numFmtId="9" fontId="22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18" fillId="19" borderId="119" xfId="0" applyFont="1" applyFill="1" applyBorder="1" applyAlignment="1" applyProtection="1">
      <alignment horizontal="center" vertical="center" wrapText="1"/>
      <protection/>
    </xf>
    <xf numFmtId="0" fontId="18" fillId="25" borderId="9" xfId="0" applyFont="1" applyFill="1" applyBorder="1" applyAlignment="1" applyProtection="1">
      <alignment horizontal="center" vertical="center" wrapText="1"/>
      <protection/>
    </xf>
    <xf numFmtId="0" fontId="18" fillId="25" borderId="119" xfId="0" applyFont="1" applyFill="1" applyBorder="1" applyAlignment="1" applyProtection="1">
      <alignment horizontal="center" vertical="center" wrapText="1"/>
      <protection/>
    </xf>
    <xf numFmtId="2" fontId="22" fillId="0" borderId="7" xfId="0" applyNumberFormat="1" applyFont="1" applyFill="1" applyBorder="1" applyAlignment="1" applyProtection="1">
      <alignment horizontal="center" vertical="center" wrapText="1"/>
      <protection hidden="1"/>
    </xf>
    <xf numFmtId="9" fontId="22" fillId="0" borderId="56" xfId="0" applyNumberFormat="1" applyFont="1" applyFill="1" applyBorder="1" applyAlignment="1" applyProtection="1">
      <alignment horizontal="center" vertical="center" wrapText="1"/>
      <protection hidden="1"/>
    </xf>
    <xf numFmtId="9" fontId="22" fillId="0" borderId="28" xfId="0" applyNumberFormat="1" applyFont="1" applyFill="1" applyBorder="1" applyAlignment="1" applyProtection="1">
      <alignment horizontal="center" vertical="center" wrapText="1"/>
      <protection hidden="1"/>
    </xf>
    <xf numFmtId="9" fontId="22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23" fillId="0" borderId="12" xfId="0" applyFont="1" applyFill="1" applyBorder="1" applyAlignment="1" applyProtection="1">
      <alignment vertical="top" wrapText="1"/>
      <protection locked="0"/>
    </xf>
    <xf numFmtId="0" fontId="23" fillId="0" borderId="7" xfId="0" applyFont="1" applyFill="1" applyBorder="1" applyAlignment="1" applyProtection="1">
      <alignment vertical="top" wrapText="1"/>
      <protection locked="0"/>
    </xf>
    <xf numFmtId="0" fontId="23" fillId="0" borderId="8" xfId="0" applyFont="1" applyFill="1" applyBorder="1" applyAlignment="1" applyProtection="1">
      <alignment vertical="top" wrapText="1"/>
      <protection locked="0"/>
    </xf>
    <xf numFmtId="2" fontId="19" fillId="18" borderId="5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7" xfId="0" applyFont="1" applyFill="1" applyBorder="1" applyAlignment="1" applyProtection="1">
      <alignment horizontal="center" vertical="center" wrapText="1"/>
      <protection hidden="1"/>
    </xf>
    <xf numFmtId="164" fontId="22" fillId="15" borderId="7" xfId="0" applyNumberFormat="1" applyFont="1" applyFill="1" applyBorder="1" applyAlignment="1" applyProtection="1">
      <alignment horizontal="center" vertical="center" wrapText="1"/>
      <protection hidden="1"/>
    </xf>
    <xf numFmtId="0" fontId="33" fillId="41" borderId="21" xfId="0" applyFont="1" applyFill="1" applyBorder="1" applyAlignment="1" applyProtection="1">
      <alignment horizontal="center" vertical="center" wrapText="1"/>
      <protection locked="0"/>
    </xf>
    <xf numFmtId="0" fontId="33" fillId="41" borderId="0" xfId="0" applyFont="1" applyFill="1" applyBorder="1" applyAlignment="1" applyProtection="1">
      <alignment horizontal="center" vertical="center" wrapText="1"/>
      <protection locked="0"/>
    </xf>
    <xf numFmtId="0" fontId="46" fillId="0" borderId="55" xfId="0" applyNumberFormat="1" applyFont="1" applyFill="1" applyBorder="1" applyAlignment="1" applyProtection="1">
      <alignment horizontal="left" vertical="top"/>
      <protection/>
    </xf>
    <xf numFmtId="0" fontId="46" fillId="0" borderId="50" xfId="0" applyNumberFormat="1" applyFont="1" applyFill="1" applyBorder="1" applyAlignment="1" applyProtection="1">
      <alignment horizontal="left" vertical="top"/>
      <protection/>
    </xf>
    <xf numFmtId="0" fontId="46" fillId="0" borderId="120" xfId="0" applyNumberFormat="1" applyFont="1" applyFill="1" applyBorder="1" applyAlignment="1" applyProtection="1">
      <alignment horizontal="left" vertical="top"/>
      <protection/>
    </xf>
    <xf numFmtId="0" fontId="46" fillId="0" borderId="55" xfId="0" applyNumberFormat="1" applyFont="1" applyFill="1" applyBorder="1" applyAlignment="1" applyProtection="1">
      <alignment vertical="top"/>
      <protection/>
    </xf>
    <xf numFmtId="0" fontId="46" fillId="0" borderId="50" xfId="0" applyNumberFormat="1" applyFont="1" applyFill="1" applyBorder="1" applyAlignment="1" applyProtection="1">
      <alignment vertical="top"/>
      <protection/>
    </xf>
    <xf numFmtId="0" fontId="46" fillId="0" borderId="120" xfId="0" applyNumberFormat="1" applyFont="1" applyFill="1" applyBorder="1" applyAlignment="1" applyProtection="1">
      <alignment vertical="top"/>
      <protection/>
    </xf>
    <xf numFmtId="0" fontId="52" fillId="20" borderId="0" xfId="52" applyFont="1" applyFill="1" applyBorder="1" applyAlignment="1" applyProtection="1">
      <alignment vertical="center"/>
      <protection hidden="1"/>
    </xf>
    <xf numFmtId="0" fontId="19" fillId="0" borderId="27" xfId="0" applyFont="1" applyFill="1" applyBorder="1" applyAlignment="1" applyProtection="1">
      <alignment horizontal="center" vertical="center"/>
      <protection hidden="1"/>
    </xf>
    <xf numFmtId="0" fontId="19" fillId="0" borderId="67" xfId="0" applyFont="1" applyFill="1" applyBorder="1" applyAlignment="1" applyProtection="1">
      <alignment horizontal="center" vertical="center"/>
      <protection hidden="1"/>
    </xf>
    <xf numFmtId="0" fontId="19" fillId="0" borderId="45" xfId="0" applyFont="1" applyFill="1" applyBorder="1" applyAlignment="1" applyProtection="1">
      <alignment horizontal="center" vertical="center"/>
      <protection hidden="1"/>
    </xf>
    <xf numFmtId="0" fontId="19" fillId="25" borderId="108" xfId="0" applyNumberFormat="1" applyFont="1" applyFill="1" applyBorder="1" applyAlignment="1" applyProtection="1">
      <alignment horizontal="center" vertical="center"/>
      <protection/>
    </xf>
    <xf numFmtId="0" fontId="27" fillId="9" borderId="0" xfId="0" applyFont="1" applyFill="1" applyAlignment="1" applyProtection="1">
      <alignment horizontal="center" vertical="center" wrapText="1"/>
      <protection hidden="1"/>
    </xf>
    <xf numFmtId="49" fontId="45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right" vertical="center"/>
      <protection/>
    </xf>
    <xf numFmtId="2" fontId="20" fillId="0" borderId="0" xfId="0" applyNumberFormat="1" applyFont="1" applyFill="1" applyBorder="1" applyAlignment="1" applyProtection="1">
      <alignment horizontal="right" vertical="center"/>
      <protection/>
    </xf>
    <xf numFmtId="2" fontId="45" fillId="0" borderId="0" xfId="0" applyNumberFormat="1" applyFont="1" applyFill="1" applyBorder="1" applyAlignment="1" applyProtection="1">
      <alignment vertical="center"/>
      <protection/>
    </xf>
    <xf numFmtId="2" fontId="20" fillId="0" borderId="0" xfId="0" applyNumberFormat="1" applyFont="1" applyFill="1" applyBorder="1" applyAlignment="1" applyProtection="1">
      <alignment vertical="center"/>
      <protection/>
    </xf>
    <xf numFmtId="0" fontId="52" fillId="20" borderId="121" xfId="52" applyFont="1" applyFill="1" applyBorder="1" applyAlignment="1" applyProtection="1">
      <alignment vertical="center"/>
      <protection hidden="1"/>
    </xf>
    <xf numFmtId="0" fontId="52" fillId="20" borderId="122" xfId="52" applyFont="1" applyFill="1" applyBorder="1" applyAlignment="1" applyProtection="1">
      <alignment vertical="center"/>
      <protection hidden="1"/>
    </xf>
    <xf numFmtId="0" fontId="52" fillId="20" borderId="123" xfId="52" applyFont="1" applyFill="1" applyBorder="1" applyAlignment="1" applyProtection="1">
      <alignment vertical="center"/>
      <protection hidden="1"/>
    </xf>
    <xf numFmtId="0" fontId="52" fillId="20" borderId="58" xfId="52" applyFont="1" applyFill="1" applyBorder="1" applyAlignment="1" applyProtection="1">
      <alignment vertical="center"/>
      <protection hidden="1"/>
    </xf>
    <xf numFmtId="0" fontId="26" fillId="0" borderId="27" xfId="0" applyFont="1" applyBorder="1" applyAlignment="1" applyProtection="1">
      <alignment horizontal="center" vertical="center" wrapText="1"/>
      <protection hidden="1"/>
    </xf>
    <xf numFmtId="0" fontId="26" fillId="0" borderId="67" xfId="0" applyFont="1" applyBorder="1" applyAlignment="1" applyProtection="1">
      <alignment horizontal="center" vertical="center" wrapText="1"/>
      <protection hidden="1"/>
    </xf>
    <xf numFmtId="0" fontId="26" fillId="0" borderId="45" xfId="0" applyFont="1" applyBorder="1" applyAlignment="1" applyProtection="1">
      <alignment horizontal="center" vertical="center" wrapText="1"/>
      <protection hidden="1"/>
    </xf>
    <xf numFmtId="0" fontId="26" fillId="49" borderId="33" xfId="0" applyFont="1" applyFill="1" applyBorder="1" applyAlignment="1" applyProtection="1">
      <alignment horizontal="center" vertical="center" wrapText="1"/>
      <protection/>
    </xf>
    <xf numFmtId="0" fontId="26" fillId="22" borderId="33" xfId="0" applyFont="1" applyFill="1" applyBorder="1" applyAlignment="1" applyProtection="1">
      <alignment horizontal="center" vertical="center"/>
      <protection/>
    </xf>
    <xf numFmtId="0" fontId="26" fillId="22" borderId="33" xfId="0" applyFont="1" applyFill="1" applyBorder="1" applyAlignment="1" applyProtection="1">
      <alignment horizontal="center" vertical="center"/>
      <protection hidden="1"/>
    </xf>
    <xf numFmtId="0" fontId="49" fillId="20" borderId="53" xfId="52" applyFill="1" applyBorder="1" applyProtection="1">
      <alignment/>
      <protection hidden="1"/>
    </xf>
    <xf numFmtId="0" fontId="0" fillId="0" borderId="7" xfId="0" applyFont="1" applyBorder="1" applyAlignment="1" applyProtection="1">
      <alignment horizontal="center" vertical="center"/>
      <protection hidden="1"/>
    </xf>
    <xf numFmtId="0" fontId="52" fillId="20" borderId="124" xfId="52" applyFont="1" applyFill="1" applyBorder="1" applyAlignment="1" applyProtection="1">
      <alignment vertical="center"/>
      <protection hidden="1"/>
    </xf>
    <xf numFmtId="0" fontId="52" fillId="20" borderId="53" xfId="52" applyFont="1" applyFill="1" applyBorder="1" applyAlignment="1" applyProtection="1">
      <alignment vertical="center"/>
      <protection hidden="1"/>
    </xf>
    <xf numFmtId="0" fontId="0" fillId="0" borderId="120" xfId="0" applyNumberFormat="1" applyFont="1" applyFill="1" applyBorder="1" applyAlignment="1" applyProtection="1">
      <alignment vertical="top"/>
      <protection/>
    </xf>
    <xf numFmtId="49" fontId="20" fillId="0" borderId="0" xfId="0" applyNumberFormat="1" applyFont="1" applyFill="1" applyBorder="1" applyAlignment="1" applyProtection="1">
      <alignment horizontal="left"/>
      <protection/>
    </xf>
    <xf numFmtId="0" fontId="33" fillId="25" borderId="117" xfId="0" applyFont="1" applyFill="1" applyBorder="1" applyAlignment="1" applyProtection="1">
      <alignment horizontal="center" vertical="center"/>
      <protection/>
    </xf>
    <xf numFmtId="0" fontId="33" fillId="25" borderId="125" xfId="0" applyFont="1" applyFill="1" applyBorder="1" applyAlignment="1" applyProtection="1">
      <alignment horizontal="center" vertical="center"/>
      <protection/>
    </xf>
    <xf numFmtId="0" fontId="33" fillId="25" borderId="118" xfId="0" applyFont="1" applyFill="1" applyBorder="1" applyAlignment="1" applyProtection="1">
      <alignment horizontal="center" vertical="center"/>
      <protection/>
    </xf>
    <xf numFmtId="0" fontId="26" fillId="19" borderId="33" xfId="0" applyFont="1" applyFill="1" applyBorder="1" applyAlignment="1" applyProtection="1">
      <alignment horizontal="center" vertical="center" wrapText="1"/>
      <protection hidden="1"/>
    </xf>
    <xf numFmtId="2" fontId="26" fillId="0" borderId="7" xfId="0" applyNumberFormat="1" applyFont="1" applyBorder="1" applyAlignment="1" applyProtection="1">
      <alignment horizontal="center" vertical="center"/>
      <protection hidden="1"/>
    </xf>
    <xf numFmtId="0" fontId="27" fillId="0" borderId="7" xfId="0" applyFont="1" applyBorder="1" applyAlignment="1" applyProtection="1">
      <alignment horizontal="center" vertical="center" wrapText="1"/>
      <protection hidden="1"/>
    </xf>
    <xf numFmtId="10" fontId="0" fillId="0" borderId="27" xfId="0" applyNumberFormat="1" applyBorder="1" applyAlignment="1" applyProtection="1">
      <alignment horizontal="center" vertical="center"/>
      <protection hidden="1"/>
    </xf>
    <xf numFmtId="165" fontId="0" fillId="0" borderId="7" xfId="0" applyNumberFormat="1" applyFill="1" applyBorder="1" applyAlignment="1" applyProtection="1">
      <alignment horizontal="center" vertical="center"/>
      <protection/>
    </xf>
    <xf numFmtId="0" fontId="33" fillId="25" borderId="0" xfId="0" applyFont="1" applyFill="1" applyAlignment="1">
      <alignment horizontal="left" vertical="center"/>
    </xf>
    <xf numFmtId="0" fontId="0" fillId="0" borderId="7" xfId="0" applyFont="1" applyBorder="1" applyAlignment="1" applyProtection="1">
      <alignment horizontal="center" vertical="center" wrapText="1"/>
      <protection hidden="1"/>
    </xf>
    <xf numFmtId="0" fontId="19" fillId="0" borderId="7" xfId="0" applyFont="1" applyFill="1" applyBorder="1" applyAlignment="1" applyProtection="1">
      <alignment horizontal="center" vertical="center"/>
      <protection hidden="1"/>
    </xf>
    <xf numFmtId="0" fontId="27" fillId="9" borderId="0" xfId="0" applyFont="1" applyFill="1" applyAlignment="1" applyProtection="1">
      <alignment horizontal="center" wrapText="1"/>
      <protection hidden="1"/>
    </xf>
    <xf numFmtId="0" fontId="36" fillId="20" borderId="126" xfId="0" applyFont="1" applyFill="1" applyBorder="1" applyAlignment="1" applyProtection="1">
      <alignment horizontal="center" vertical="center"/>
      <protection hidden="1"/>
    </xf>
    <xf numFmtId="0" fontId="36" fillId="20" borderId="97" xfId="0" applyFont="1" applyFill="1" applyBorder="1" applyAlignment="1" applyProtection="1">
      <alignment horizontal="center" vertical="center"/>
      <protection hidden="1"/>
    </xf>
    <xf numFmtId="0" fontId="36" fillId="20" borderId="127" xfId="0" applyFont="1" applyFill="1" applyBorder="1" applyAlignment="1" applyProtection="1">
      <alignment horizontal="center" vertical="center"/>
      <protection hidden="1"/>
    </xf>
    <xf numFmtId="49" fontId="27" fillId="25" borderId="43" xfId="0" applyNumberFormat="1" applyFont="1" applyFill="1" applyBorder="1" applyAlignment="1" applyProtection="1">
      <alignment horizontal="center" vertical="center" wrapText="1"/>
      <protection hidden="1"/>
    </xf>
    <xf numFmtId="49" fontId="27" fillId="25" borderId="14" xfId="0" applyNumberFormat="1" applyFont="1" applyFill="1" applyBorder="1" applyAlignment="1" applyProtection="1">
      <alignment horizontal="center" vertical="center" wrapText="1"/>
      <protection hidden="1"/>
    </xf>
    <xf numFmtId="0" fontId="19" fillId="20" borderId="128" xfId="0" applyFont="1" applyFill="1" applyBorder="1" applyAlignment="1" applyProtection="1">
      <alignment horizontal="center" vertical="center"/>
      <protection hidden="1"/>
    </xf>
    <xf numFmtId="0" fontId="19" fillId="20" borderId="129" xfId="0" applyFont="1" applyFill="1" applyBorder="1" applyAlignment="1" applyProtection="1">
      <alignment horizontal="center" vertical="center"/>
      <protection hidden="1"/>
    </xf>
    <xf numFmtId="9" fontId="20" fillId="0" borderId="27" xfId="0" applyNumberFormat="1" applyFont="1" applyBorder="1" applyAlignment="1" applyProtection="1">
      <alignment horizontal="center" vertical="center"/>
      <protection hidden="1"/>
    </xf>
    <xf numFmtId="0" fontId="0" fillId="0" borderId="7" xfId="0" applyFill="1" applyBorder="1" applyAlignment="1" applyProtection="1">
      <alignment horizontal="center" vertical="center"/>
      <protection hidden="1"/>
    </xf>
    <xf numFmtId="0" fontId="27" fillId="9" borderId="18" xfId="0" applyFont="1" applyFill="1" applyBorder="1" applyAlignment="1" applyProtection="1">
      <alignment horizontal="center" wrapText="1"/>
      <protection hidden="1"/>
    </xf>
    <xf numFmtId="0" fontId="19" fillId="20" borderId="0" xfId="0" applyFont="1" applyFill="1" applyAlignment="1">
      <alignment horizontal="center" vertical="center"/>
    </xf>
    <xf numFmtId="0" fontId="42" fillId="0" borderId="87" xfId="0" applyFont="1" applyBorder="1" applyAlignment="1" applyProtection="1">
      <alignment vertical="top" wrapText="1"/>
      <protection hidden="1"/>
    </xf>
    <xf numFmtId="0" fontId="42" fillId="0" borderId="0" xfId="0" applyFont="1" applyBorder="1" applyAlignment="1" applyProtection="1">
      <alignment vertical="top" wrapText="1"/>
      <protection hidden="1"/>
    </xf>
    <xf numFmtId="0" fontId="42" fillId="0" borderId="88" xfId="0" applyFont="1" applyBorder="1" applyAlignment="1" applyProtection="1">
      <alignment vertical="top" wrapText="1"/>
      <protection hidden="1"/>
    </xf>
    <xf numFmtId="0" fontId="41" fillId="0" borderId="87" xfId="0" applyFont="1" applyBorder="1" applyAlignment="1" applyProtection="1">
      <alignment vertical="top" wrapText="1"/>
      <protection hidden="1"/>
    </xf>
    <xf numFmtId="0" fontId="41" fillId="0" borderId="0" xfId="0" applyFont="1" applyBorder="1" applyAlignment="1" applyProtection="1">
      <alignment vertical="top" wrapText="1"/>
      <protection hidden="1"/>
    </xf>
    <xf numFmtId="0" fontId="41" fillId="0" borderId="88" xfId="0" applyFont="1" applyBorder="1" applyAlignment="1" applyProtection="1">
      <alignment vertical="top" wrapText="1"/>
      <protection hidden="1"/>
    </xf>
    <xf numFmtId="0" fontId="41" fillId="0" borderId="89" xfId="0" applyFont="1" applyBorder="1" applyAlignment="1" applyProtection="1">
      <alignment vertical="top" wrapText="1"/>
      <protection hidden="1"/>
    </xf>
    <xf numFmtId="0" fontId="41" fillId="0" borderId="92" xfId="0" applyFont="1" applyBorder="1" applyAlignment="1" applyProtection="1">
      <alignment vertical="top" wrapText="1"/>
      <protection hidden="1"/>
    </xf>
    <xf numFmtId="0" fontId="18" fillId="25" borderId="9" xfId="0" applyFont="1" applyFill="1" applyBorder="1" applyAlignment="1" applyProtection="1">
      <alignment horizontal="center" vertical="center" wrapText="1"/>
      <protection hidden="1"/>
    </xf>
    <xf numFmtId="0" fontId="18" fillId="25" borderId="119" xfId="0" applyFont="1" applyFill="1" applyBorder="1" applyAlignment="1" applyProtection="1">
      <alignment horizontal="center" vertical="center" wrapText="1"/>
      <protection hidden="1"/>
    </xf>
    <xf numFmtId="0" fontId="18" fillId="19" borderId="119" xfId="0" applyFont="1" applyFill="1" applyBorder="1" applyAlignment="1" applyProtection="1">
      <alignment horizontal="center" vertical="center" wrapText="1"/>
      <protection hidden="1"/>
    </xf>
    <xf numFmtId="0" fontId="41" fillId="25" borderId="85" xfId="0" applyFont="1" applyFill="1" applyBorder="1" applyAlignment="1" applyProtection="1">
      <alignment horizontal="left" vertical="center"/>
      <protection hidden="1"/>
    </xf>
    <xf numFmtId="0" fontId="41" fillId="25" borderId="91" xfId="0" applyFont="1" applyFill="1" applyBorder="1" applyAlignment="1" applyProtection="1">
      <alignment horizontal="left" vertical="center"/>
      <protection hidden="1"/>
    </xf>
    <xf numFmtId="0" fontId="18" fillId="19" borderId="89" xfId="0" applyFont="1" applyFill="1" applyBorder="1" applyAlignment="1" applyProtection="1">
      <alignment horizontal="center" vertical="center" wrapText="1"/>
      <protection/>
    </xf>
    <xf numFmtId="0" fontId="18" fillId="19" borderId="92" xfId="0" applyFont="1" applyFill="1" applyBorder="1" applyAlignment="1" applyProtection="1">
      <alignment horizontal="center" vertical="center" wrapText="1"/>
      <protection/>
    </xf>
    <xf numFmtId="0" fontId="18" fillId="19" borderId="90" xfId="0" applyFont="1" applyFill="1" applyBorder="1" applyAlignment="1" applyProtection="1">
      <alignment horizontal="center" vertical="center" wrapText="1"/>
      <protection/>
    </xf>
    <xf numFmtId="0" fontId="18" fillId="25" borderId="85" xfId="0" applyFont="1" applyFill="1" applyBorder="1" applyAlignment="1" applyProtection="1">
      <alignment horizontal="center" vertical="center" wrapText="1"/>
      <protection/>
    </xf>
    <xf numFmtId="0" fontId="18" fillId="25" borderId="91" xfId="0" applyFont="1" applyFill="1" applyBorder="1" applyAlignment="1" applyProtection="1">
      <alignment horizontal="center" vertical="center" wrapText="1"/>
      <protection/>
    </xf>
    <xf numFmtId="0" fontId="18" fillId="25" borderId="86" xfId="0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uro" xfId="43"/>
    <cellStyle name="Euro 2" xfId="44"/>
    <cellStyle name="Excel_BuiltIn_Percent" xfId="45"/>
    <cellStyle name="Heading" xfId="46"/>
    <cellStyle name="Heading1" xfId="47"/>
    <cellStyle name="Input" xfId="48"/>
    <cellStyle name="Comma" xfId="49"/>
    <cellStyle name="Comma [0]" xfId="50"/>
    <cellStyle name="Neutrale" xfId="51"/>
    <cellStyle name="Normale 2" xfId="52"/>
    <cellStyle name="Normale 3" xfId="53"/>
    <cellStyle name="Nota" xfId="54"/>
    <cellStyle name="Output" xfId="55"/>
    <cellStyle name="Percent" xfId="56"/>
    <cellStyle name="Result" xfId="57"/>
    <cellStyle name="Result2" xfId="58"/>
    <cellStyle name="Testo avviso" xfId="59"/>
    <cellStyle name="Testo descrittivo" xfId="60"/>
    <cellStyle name="Titolo" xfId="61"/>
    <cellStyle name="Titolo 1" xfId="62"/>
    <cellStyle name="Titolo 2" xfId="63"/>
    <cellStyle name="Titolo 3" xfId="64"/>
    <cellStyle name="Titolo 4" xfId="65"/>
    <cellStyle name="Totale" xfId="66"/>
    <cellStyle name="Valore non valido" xfId="67"/>
    <cellStyle name="Valore valido" xfId="68"/>
    <cellStyle name="Currency" xfId="69"/>
    <cellStyle name="Currency [0]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DDDDDD"/>
      <rgbColor rgb="00FF00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CCC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EEEEE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38100</xdr:rowOff>
    </xdr:from>
    <xdr:to>
      <xdr:col>0</xdr:col>
      <xdr:colOff>771525</xdr:colOff>
      <xdr:row>1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8100"/>
          <a:ext cx="6858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</xdr:row>
      <xdr:rowOff>152400</xdr:rowOff>
    </xdr:from>
    <xdr:to>
      <xdr:col>0</xdr:col>
      <xdr:colOff>866775</xdr:colOff>
      <xdr:row>2</xdr:row>
      <xdr:rowOff>419100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23850"/>
          <a:ext cx="7239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361950</xdr:colOff>
      <xdr:row>0</xdr:row>
      <xdr:rowOff>133350</xdr:rowOff>
    </xdr:from>
    <xdr:to>
      <xdr:col>3</xdr:col>
      <xdr:colOff>1104900</xdr:colOff>
      <xdr:row>2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133350"/>
          <a:ext cx="7429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504825</xdr:colOff>
      <xdr:row>1</xdr:row>
      <xdr:rowOff>485775</xdr:rowOff>
    </xdr:from>
    <xdr:to>
      <xdr:col>5</xdr:col>
      <xdr:colOff>504825</xdr:colOff>
      <xdr:row>2</xdr:row>
      <xdr:rowOff>762000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1009650"/>
          <a:ext cx="6762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333375</xdr:colOff>
      <xdr:row>1</xdr:row>
      <xdr:rowOff>57150</xdr:rowOff>
    </xdr:from>
    <xdr:to>
      <xdr:col>4</xdr:col>
      <xdr:colOff>1104900</xdr:colOff>
      <xdr:row>1</xdr:row>
      <xdr:rowOff>981075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285750"/>
          <a:ext cx="771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1181100</xdr:colOff>
      <xdr:row>0</xdr:row>
      <xdr:rowOff>152400</xdr:rowOff>
    </xdr:from>
    <xdr:to>
      <xdr:col>3</xdr:col>
      <xdr:colOff>742950</xdr:colOff>
      <xdr:row>1</xdr:row>
      <xdr:rowOff>857250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152400"/>
          <a:ext cx="7905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266700</xdr:colOff>
      <xdr:row>0</xdr:row>
      <xdr:rowOff>152400</xdr:rowOff>
    </xdr:from>
    <xdr:to>
      <xdr:col>5</xdr:col>
      <xdr:colOff>209550</xdr:colOff>
      <xdr:row>1</xdr:row>
      <xdr:rowOff>371475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152400"/>
          <a:ext cx="552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561975</xdr:colOff>
      <xdr:row>0</xdr:row>
      <xdr:rowOff>47625</xdr:rowOff>
    </xdr:from>
    <xdr:to>
      <xdr:col>6</xdr:col>
      <xdr:colOff>133350</xdr:colOff>
      <xdr:row>1</xdr:row>
      <xdr:rowOff>323850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47625"/>
          <a:ext cx="552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="60" zoomScaleNormal="60" zoomScalePageLayoutView="0" workbookViewId="0" topLeftCell="A1">
      <selection activeCell="B56" sqref="B56"/>
    </sheetView>
  </sheetViews>
  <sheetFormatPr defaultColWidth="11.57421875" defaultRowHeight="12.75"/>
  <cols>
    <col min="1" max="1" width="77.00390625" style="1" customWidth="1"/>
    <col min="2" max="2" width="36.7109375" style="1" customWidth="1"/>
    <col min="3" max="4" width="25.57421875" style="1" customWidth="1"/>
    <col min="5" max="6" width="11.57421875" style="1" customWidth="1"/>
    <col min="7" max="7" width="25.57421875" style="1" customWidth="1"/>
    <col min="8" max="8" width="13.00390625" style="1" customWidth="1"/>
    <col min="9" max="9" width="13.7109375" style="1" customWidth="1"/>
    <col min="10" max="16384" width="11.57421875" style="1" customWidth="1"/>
  </cols>
  <sheetData>
    <row r="1" spans="1:4" ht="54.75" customHeight="1" thickBot="1">
      <c r="A1" s="566" t="s">
        <v>162</v>
      </c>
      <c r="B1" s="566"/>
      <c r="C1" s="566"/>
      <c r="D1" s="567"/>
    </row>
    <row r="2" spans="1:4" ht="49.5" customHeight="1">
      <c r="A2" s="565" t="s">
        <v>0</v>
      </c>
      <c r="B2" s="565"/>
      <c r="C2" s="565"/>
      <c r="D2" s="565"/>
    </row>
    <row r="3" spans="1:9" ht="64.5" customHeight="1" thickBot="1">
      <c r="A3" s="387" t="s">
        <v>249</v>
      </c>
      <c r="B3" s="3"/>
      <c r="C3" s="4"/>
      <c r="D3" s="4"/>
      <c r="G3" s="163" t="s">
        <v>138</v>
      </c>
      <c r="H3" s="163" t="s">
        <v>3</v>
      </c>
      <c r="I3" s="163" t="s">
        <v>4</v>
      </c>
    </row>
    <row r="4" spans="1:9" ht="49.5" customHeight="1" thickBot="1">
      <c r="A4" s="2"/>
      <c r="B4" s="15" t="s">
        <v>248</v>
      </c>
      <c r="C4" s="153"/>
      <c r="G4" s="164" t="s">
        <v>139</v>
      </c>
      <c r="H4" s="386">
        <v>80.75</v>
      </c>
      <c r="I4" s="386">
        <v>104.5</v>
      </c>
    </row>
    <row r="5" spans="1:9" ht="40.5" customHeight="1" thickBot="1">
      <c r="A5" s="149" t="s">
        <v>1</v>
      </c>
      <c r="B5" s="5" t="s">
        <v>2</v>
      </c>
      <c r="C5" s="150" t="s">
        <v>3</v>
      </c>
      <c r="D5" s="150" t="s">
        <v>4</v>
      </c>
      <c r="G5" s="165" t="s">
        <v>140</v>
      </c>
      <c r="H5" s="386">
        <v>80.75</v>
      </c>
      <c r="I5" s="386">
        <v>104.5</v>
      </c>
    </row>
    <row r="6" spans="1:9" ht="16.5" customHeight="1" thickBot="1">
      <c r="A6" s="6" t="s">
        <v>5</v>
      </c>
      <c r="B6" s="7"/>
      <c r="C6" s="568" t="b">
        <f>IF(B6="x",H4,IF(B7="x",H6,IF(B8="x",H7)))</f>
        <v>0</v>
      </c>
      <c r="D6" s="568" t="b">
        <f>IF(B6="x",I4,IF(B7="x",I6,IF(B8="x",I7)))</f>
        <v>0</v>
      </c>
      <c r="G6" s="164" t="s">
        <v>141</v>
      </c>
      <c r="H6" s="386">
        <v>72.25</v>
      </c>
      <c r="I6" s="386">
        <v>93.5</v>
      </c>
    </row>
    <row r="7" spans="1:9" ht="16.5" customHeight="1" thickBot="1">
      <c r="A7" s="8" t="s">
        <v>6</v>
      </c>
      <c r="B7" s="9"/>
      <c r="C7" s="568"/>
      <c r="D7" s="568"/>
      <c r="G7" s="164" t="s">
        <v>142</v>
      </c>
      <c r="H7" s="386">
        <v>80.75</v>
      </c>
      <c r="I7" s="386">
        <v>104.5</v>
      </c>
    </row>
    <row r="8" spans="1:9" ht="16.5" customHeight="1" thickBot="1">
      <c r="A8" s="10" t="s">
        <v>8</v>
      </c>
      <c r="B8" s="11"/>
      <c r="C8" s="568"/>
      <c r="D8" s="568"/>
      <c r="G8" s="164" t="s">
        <v>143</v>
      </c>
      <c r="H8" s="386">
        <v>20.4</v>
      </c>
      <c r="I8" s="386">
        <v>5.95</v>
      </c>
    </row>
    <row r="9" spans="1:9" ht="24" thickBot="1">
      <c r="A9" s="12"/>
      <c r="B9" s="13"/>
      <c r="C9" s="170"/>
      <c r="D9" s="170"/>
      <c r="G9" s="164" t="s">
        <v>144</v>
      </c>
      <c r="H9" s="386">
        <v>20.4</v>
      </c>
      <c r="I9" s="386">
        <v>5.95</v>
      </c>
    </row>
    <row r="10" spans="1:9" ht="32.25" thickBot="1">
      <c r="A10" s="149" t="s">
        <v>9</v>
      </c>
      <c r="B10" s="5" t="s">
        <v>10</v>
      </c>
      <c r="C10" s="171"/>
      <c r="D10" s="172"/>
      <c r="G10" s="164" t="s">
        <v>145</v>
      </c>
      <c r="H10" s="386">
        <v>20.4</v>
      </c>
      <c r="I10" s="386">
        <v>5.95</v>
      </c>
    </row>
    <row r="11" spans="1:4" ht="39" thickBot="1">
      <c r="A11" s="14" t="s">
        <v>11</v>
      </c>
      <c r="B11" s="15"/>
      <c r="C11" s="173" t="str">
        <f>IF(B11="x","98%",IF(B11="","0%"))</f>
        <v>0%</v>
      </c>
      <c r="D11" s="174" t="str">
        <f>IF(B11="x","98%",IF(B11="","0%"))</f>
        <v>0%</v>
      </c>
    </row>
    <row r="12" spans="1:4" ht="28.5" customHeight="1">
      <c r="A12" s="16"/>
      <c r="B12" s="13"/>
      <c r="C12" s="170"/>
      <c r="D12" s="170"/>
    </row>
    <row r="13" spans="1:4" ht="35.25" customHeight="1">
      <c r="A13" s="16"/>
      <c r="B13" s="13"/>
      <c r="C13" s="169">
        <f>+C6-(C6*C11)</f>
        <v>0</v>
      </c>
      <c r="D13" s="169">
        <f>+D6-(D6*D11)</f>
        <v>0</v>
      </c>
    </row>
    <row r="14" spans="1:4" ht="63">
      <c r="A14" s="149" t="s">
        <v>12</v>
      </c>
      <c r="B14" s="17" t="s">
        <v>133</v>
      </c>
      <c r="C14" s="175"/>
      <c r="D14" s="175"/>
    </row>
    <row r="15" spans="1:4" ht="30" customHeight="1">
      <c r="A15" s="18" t="s">
        <v>13</v>
      </c>
      <c r="B15" s="19"/>
      <c r="C15" s="571">
        <f>IF(B15="in","0,55",IF(B16="in","0,45",IF(B17="in","0,10",IF(B15="out","1",IF(B16="out","0,7",IF(B17="out","0,10",))))))</f>
        <v>0</v>
      </c>
      <c r="D15" s="571">
        <f>IF(B15="in","0,55",IF(B16="in","0,45",IF(B17="in","0,10",IF(B15="out","1",IF(B16="out","0,7",IF(B17="out","0,10",))))))</f>
        <v>0</v>
      </c>
    </row>
    <row r="16" spans="1:4" ht="22.5" customHeight="1">
      <c r="A16" s="20" t="s">
        <v>14</v>
      </c>
      <c r="B16" s="21"/>
      <c r="C16" s="571"/>
      <c r="D16" s="571"/>
    </row>
    <row r="17" spans="1:4" ht="23.25" customHeight="1">
      <c r="A17" s="22" t="s">
        <v>15</v>
      </c>
      <c r="B17" s="23"/>
      <c r="C17" s="571"/>
      <c r="D17" s="571"/>
    </row>
    <row r="18" spans="1:4" ht="26.25" customHeight="1">
      <c r="A18" s="24"/>
      <c r="B18" s="25"/>
      <c r="C18" s="177"/>
      <c r="D18" s="178"/>
    </row>
    <row r="19" spans="1:4" ht="29.25" customHeight="1" thickBot="1">
      <c r="A19" s="26"/>
      <c r="B19" s="27" t="s">
        <v>16</v>
      </c>
      <c r="C19" s="179">
        <f>+(C13*C15)</f>
        <v>0</v>
      </c>
      <c r="D19" s="179">
        <f>+(D13*D15)</f>
        <v>0</v>
      </c>
    </row>
    <row r="20" spans="1:7" ht="78" thickBot="1">
      <c r="A20" s="149" t="s">
        <v>222</v>
      </c>
      <c r="B20" s="128" t="s">
        <v>260</v>
      </c>
      <c r="C20" s="180"/>
      <c r="D20" s="181"/>
      <c r="G20" s="72"/>
    </row>
    <row r="21" spans="1:6" ht="36.75" customHeight="1" thickBot="1">
      <c r="A21" s="133" t="s">
        <v>134</v>
      </c>
      <c r="B21" s="19"/>
      <c r="C21" s="571" t="b">
        <f>IF(B21="x","0%",IF(B22="x","35%",IF(B23="x","35%",IF(B24="x","35%",IF(B25="x","40%",IF(B26="x","35%",IF(B27="x","35%")))))))</f>
        <v>0</v>
      </c>
      <c r="D21" s="571" t="b">
        <f>IF(B21="x","0%",IF(B22="x","35%",IF(B23="x","35%",IF(B24="x","35%",IF(B25="x","40%",IF(B26="x","35%",IF(B27="x","35%")))))))</f>
        <v>0</v>
      </c>
      <c r="E21" s="28"/>
      <c r="F21" s="28"/>
    </row>
    <row r="22" spans="1:6" ht="36.75" customHeight="1" thickBot="1">
      <c r="A22" s="29" t="s">
        <v>257</v>
      </c>
      <c r="B22" s="21"/>
      <c r="C22" s="571"/>
      <c r="D22" s="571"/>
      <c r="E22" s="28"/>
      <c r="F22" s="28"/>
    </row>
    <row r="23" spans="1:6" ht="116.25" customHeight="1" thickBot="1">
      <c r="A23" s="357" t="s">
        <v>258</v>
      </c>
      <c r="B23" s="21"/>
      <c r="C23" s="571"/>
      <c r="D23" s="571"/>
      <c r="E23" s="28"/>
      <c r="F23" s="28"/>
    </row>
    <row r="24" spans="1:6" ht="48" customHeight="1" thickBot="1">
      <c r="A24" s="29" t="s">
        <v>259</v>
      </c>
      <c r="B24" s="359"/>
      <c r="C24" s="571"/>
      <c r="D24" s="571"/>
      <c r="E24" s="28"/>
      <c r="F24" s="28"/>
    </row>
    <row r="25" spans="1:6" ht="67.5" customHeight="1" thickBot="1">
      <c r="A25" s="358" t="s">
        <v>261</v>
      </c>
      <c r="B25" s="21"/>
      <c r="C25" s="571"/>
      <c r="D25" s="571"/>
      <c r="E25" s="28"/>
      <c r="F25" s="28"/>
    </row>
    <row r="26" spans="1:6" ht="57" customHeight="1" thickBot="1">
      <c r="A26" s="139"/>
      <c r="B26" s="21"/>
      <c r="C26" s="571"/>
      <c r="D26" s="571"/>
      <c r="E26" s="28"/>
      <c r="F26" s="28"/>
    </row>
    <row r="27" spans="1:6" ht="42.75" customHeight="1" thickBot="1">
      <c r="A27" s="140"/>
      <c r="B27" s="23"/>
      <c r="C27" s="571"/>
      <c r="D27" s="571"/>
      <c r="E27" s="28"/>
      <c r="F27" s="28"/>
    </row>
    <row r="28" spans="1:4" ht="24" thickBot="1">
      <c r="A28" s="24"/>
      <c r="B28" s="13"/>
      <c r="C28" s="177"/>
      <c r="D28" s="177"/>
    </row>
    <row r="29" spans="1:4" ht="23.25">
      <c r="A29" s="24"/>
      <c r="B29" s="30" t="s">
        <v>16</v>
      </c>
      <c r="C29" s="182">
        <f>+C19-(C19*C21)</f>
        <v>0</v>
      </c>
      <c r="D29" s="182">
        <f>+D19-(D19*D21)</f>
        <v>0</v>
      </c>
    </row>
    <row r="30" spans="1:4" ht="40.5" customHeight="1">
      <c r="A30" s="149" t="s">
        <v>18</v>
      </c>
      <c r="B30" s="17" t="s">
        <v>19</v>
      </c>
      <c r="C30" s="177"/>
      <c r="D30" s="183"/>
    </row>
    <row r="31" spans="1:4" ht="39" customHeight="1">
      <c r="A31" s="166" t="s">
        <v>148</v>
      </c>
      <c r="B31" s="19" t="s">
        <v>7</v>
      </c>
      <c r="C31" s="184" t="str">
        <f>IF(B31="x","0%",IF(B31="","0%",))</f>
        <v>0%</v>
      </c>
      <c r="D31" s="185" t="str">
        <f>IF(B31="x","50%",IF(B31="","0%"))</f>
        <v>50%</v>
      </c>
    </row>
    <row r="32" spans="1:4" ht="39" customHeight="1">
      <c r="A32" s="167" t="s">
        <v>149</v>
      </c>
      <c r="B32" s="21"/>
      <c r="C32" s="186" t="str">
        <f>IF(B32="x","20%",IF(B32="","0%"))</f>
        <v>0%</v>
      </c>
      <c r="D32" s="187" t="str">
        <f>IF(B32="x","20%",IF(B32="","0%"))</f>
        <v>0%</v>
      </c>
    </row>
    <row r="33" spans="1:4" ht="39" customHeight="1">
      <c r="A33" s="167" t="s">
        <v>150</v>
      </c>
      <c r="B33" s="21"/>
      <c r="C33" s="186" t="str">
        <f>IF(B33="x","20%",IF(B33="","0%"))</f>
        <v>0%</v>
      </c>
      <c r="D33" s="187" t="str">
        <f>IF(B33="x","20%",IF(B33="","0%"))</f>
        <v>0%</v>
      </c>
    </row>
    <row r="34" spans="1:4" ht="39" customHeight="1">
      <c r="A34" s="167" t="s">
        <v>151</v>
      </c>
      <c r="B34" s="21"/>
      <c r="C34" s="186" t="str">
        <f>IF(B34="x","30%",IF(B34="","0%"))</f>
        <v>0%</v>
      </c>
      <c r="D34" s="187" t="str">
        <f>IF(B34="x","30%",IF(B34="","0%"))</f>
        <v>0%</v>
      </c>
    </row>
    <row r="35" spans="1:4" ht="24" customHeight="1">
      <c r="A35" s="167"/>
      <c r="B35" s="141" t="s">
        <v>163</v>
      </c>
      <c r="C35" s="188">
        <f>+C31+C32+C33+C34</f>
        <v>0</v>
      </c>
      <c r="D35" s="189">
        <f>+D31+D32+D33+D34</f>
        <v>0.5</v>
      </c>
    </row>
    <row r="36" spans="1:4" ht="39" customHeight="1">
      <c r="A36" s="167" t="s">
        <v>152</v>
      </c>
      <c r="B36" s="21"/>
      <c r="C36" s="186" t="str">
        <f>IF(B36="x","5%",IF(B36="","0%"))</f>
        <v>0%</v>
      </c>
      <c r="D36" s="187" t="str">
        <f>IF(B36="x","5%",IF(B36="","0%"))</f>
        <v>0%</v>
      </c>
    </row>
    <row r="37" spans="1:4" ht="39" customHeight="1">
      <c r="A37" s="168" t="s">
        <v>153</v>
      </c>
      <c r="B37" s="129"/>
      <c r="C37" s="190" t="str">
        <f>IF(B37="x","10%",IF(B37="","0%"))</f>
        <v>0%</v>
      </c>
      <c r="D37" s="190" t="str">
        <f>IF(B37="x","10%",IF(B37="","0%"))</f>
        <v>0%</v>
      </c>
    </row>
    <row r="38" spans="1:4" ht="12.75" customHeight="1" thickBot="1">
      <c r="A38" s="572" t="s">
        <v>154</v>
      </c>
      <c r="B38" s="575"/>
      <c r="C38" s="563" t="str">
        <f>IF(B38="x","5%",IF(B38="","0%"))</f>
        <v>0%</v>
      </c>
      <c r="D38" s="563" t="str">
        <f>IF(B38="x","5%",IF(B38="","0%"))</f>
        <v>0%</v>
      </c>
    </row>
    <row r="39" spans="1:4" ht="12.75" customHeight="1" thickBot="1">
      <c r="A39" s="573"/>
      <c r="B39" s="575"/>
      <c r="C39" s="563"/>
      <c r="D39" s="563"/>
    </row>
    <row r="40" spans="1:4" ht="12.75" customHeight="1" thickBot="1">
      <c r="A40" s="573"/>
      <c r="B40" s="575"/>
      <c r="C40" s="563"/>
      <c r="D40" s="563"/>
    </row>
    <row r="41" spans="1:4" ht="42" customHeight="1" thickBot="1">
      <c r="A41" s="574"/>
      <c r="B41" s="575"/>
      <c r="C41" s="564"/>
      <c r="D41" s="564"/>
    </row>
    <row r="42" spans="1:4" ht="87.75" customHeight="1">
      <c r="A42" s="167" t="s">
        <v>155</v>
      </c>
      <c r="B42" s="134"/>
      <c r="C42" s="191" t="str">
        <f>IF(B42="x","10%",IF(B42="","0%"))</f>
        <v>0%</v>
      </c>
      <c r="D42" s="191" t="str">
        <f>IF(B42="x","10%",IF(B42="","0%"))</f>
        <v>0%</v>
      </c>
    </row>
    <row r="43" spans="1:4" ht="87.75" customHeight="1">
      <c r="A43" s="167" t="s">
        <v>156</v>
      </c>
      <c r="B43" s="134"/>
      <c r="C43" s="192" t="str">
        <f>IF(B43="x","15%",IF(B43="","0%"))</f>
        <v>0%</v>
      </c>
      <c r="D43" s="192" t="str">
        <f>IF(B43="x","15%",IF(B43="","0%"))</f>
        <v>0%</v>
      </c>
    </row>
    <row r="44" spans="1:4" ht="87.75" customHeight="1">
      <c r="A44" s="167" t="s">
        <v>157</v>
      </c>
      <c r="B44" s="134"/>
      <c r="C44" s="190" t="str">
        <f>IF(B44="x","20%",IF(B44="","0%"))</f>
        <v>0%</v>
      </c>
      <c r="D44" s="190" t="str">
        <f>IF(B44="x","20%",IF(B44="","0%"))</f>
        <v>0%</v>
      </c>
    </row>
    <row r="45" spans="1:4" ht="39.75" customHeight="1">
      <c r="A45" s="20" t="s">
        <v>158</v>
      </c>
      <c r="B45" s="134"/>
      <c r="C45" s="190" t="str">
        <f>IF(B45="x","15%",IF(B45="","0%"))</f>
        <v>0%</v>
      </c>
      <c r="D45" s="190" t="str">
        <f>IF(B45="x","15%",IF(B45="","0%"))</f>
        <v>0%</v>
      </c>
    </row>
    <row r="46" spans="1:4" ht="39.75" customHeight="1">
      <c r="A46" s="167" t="s">
        <v>159</v>
      </c>
      <c r="B46" s="134"/>
      <c r="C46" s="190" t="str">
        <f>IF(B46="x","30%",IF(B46="","0%"))</f>
        <v>0%</v>
      </c>
      <c r="D46" s="190" t="str">
        <f>IF(B46="x","30%",IF(B46="","0%"))</f>
        <v>0%</v>
      </c>
    </row>
    <row r="47" spans="1:4" ht="39.75" customHeight="1">
      <c r="A47" s="167" t="s">
        <v>160</v>
      </c>
      <c r="B47" s="134"/>
      <c r="C47" s="190" t="str">
        <f>IF(B47="x","15%",IF(B47="","0%"))</f>
        <v>0%</v>
      </c>
      <c r="D47" s="190" t="str">
        <f>IF(B47="x","15%",IF(B47="","0%"))</f>
        <v>0%</v>
      </c>
    </row>
    <row r="48" spans="1:4" ht="39.75" customHeight="1">
      <c r="A48" s="167" t="s">
        <v>161</v>
      </c>
      <c r="B48" s="134"/>
      <c r="C48" s="190" t="str">
        <f>IF(B48="x","15%",IF(B48="","0%"))</f>
        <v>0%</v>
      </c>
      <c r="D48" s="190" t="str">
        <f>IF(B48="x","15%",IF(B48="","0%"))</f>
        <v>0%</v>
      </c>
    </row>
    <row r="49" spans="1:4" ht="22.5" customHeight="1" thickBot="1">
      <c r="A49" s="132"/>
      <c r="B49" s="141" t="s">
        <v>163</v>
      </c>
      <c r="C49" s="193">
        <f>+C36+C37+C38+C39+C40+C41+C42+C43+C44+C45+C46+C47+C48</f>
        <v>0</v>
      </c>
      <c r="D49" s="193">
        <f>+D36+D37+D38+D39+D40+D41+D42+D43+D44+D45+D46+D47+D48</f>
        <v>0</v>
      </c>
    </row>
    <row r="50" spans="1:4" ht="38.25" customHeight="1" thickBot="1">
      <c r="A50" s="156"/>
      <c r="B50" s="157" t="s">
        <v>244</v>
      </c>
      <c r="C50" s="176">
        <f>IF(C49&lt;=0.3,C49,IF(C49&gt;0.3,"30%"))</f>
        <v>0</v>
      </c>
      <c r="D50" s="176">
        <f>IF(D49&lt;=0.3,D49,IF(D49&gt;0.3,"30%"))</f>
        <v>0</v>
      </c>
    </row>
    <row r="51" spans="1:6" ht="43.5" customHeight="1" thickBot="1">
      <c r="A51" s="158"/>
      <c r="B51" s="157" t="s">
        <v>245</v>
      </c>
      <c r="C51" s="194">
        <f>IF((C49+C35)&lt;=0.7,(C50+C35),IF((C49+C35)&gt;0.7,"70%"))</f>
        <v>0</v>
      </c>
      <c r="D51" s="194">
        <f>IF((D49+D35)&lt;=0.7,(D50+D35),IF((D49+D35)&gt;0.7,"70%"))</f>
        <v>0.5</v>
      </c>
      <c r="E51" s="28"/>
      <c r="F51" s="28"/>
    </row>
    <row r="52" spans="1:6" ht="21" thickBot="1">
      <c r="A52" s="24"/>
      <c r="B52" s="13" t="s">
        <v>20</v>
      </c>
      <c r="C52" s="195" t="s">
        <v>3</v>
      </c>
      <c r="D52" s="196" t="s">
        <v>4</v>
      </c>
      <c r="E52" s="28"/>
      <c r="F52" s="28"/>
    </row>
    <row r="53" spans="1:6" ht="23.25">
      <c r="A53" s="24"/>
      <c r="B53" s="13"/>
      <c r="C53" s="197">
        <f>+C29-(C29*C51)</f>
        <v>0</v>
      </c>
      <c r="D53" s="179">
        <f>+D29-(D29*D51)</f>
        <v>0</v>
      </c>
      <c r="E53" s="28"/>
      <c r="F53" s="28"/>
    </row>
    <row r="54" spans="1:6" ht="23.25">
      <c r="A54" s="24"/>
      <c r="B54" s="13"/>
      <c r="C54" s="198"/>
      <c r="D54" s="198"/>
      <c r="E54" s="28"/>
      <c r="F54" s="28"/>
    </row>
    <row r="55" spans="1:6" ht="30">
      <c r="A55" s="24"/>
      <c r="B55" s="32" t="b">
        <f>IF(B6="x","SU mq",IF(B7="x","SL mq",IF(B8="x","SU mq")))</f>
        <v>0</v>
      </c>
      <c r="C55" s="199" t="s">
        <v>21</v>
      </c>
      <c r="D55" s="200" t="s">
        <v>22</v>
      </c>
      <c r="E55" s="28"/>
      <c r="F55" s="28"/>
    </row>
    <row r="56" spans="2:4" ht="31.5" customHeight="1">
      <c r="B56" s="148">
        <v>0</v>
      </c>
      <c r="C56" s="201">
        <f>+B56*C53</f>
        <v>0</v>
      </c>
      <c r="D56" s="202">
        <f>+B56*D53</f>
        <v>0</v>
      </c>
    </row>
    <row r="57" spans="1:4" ht="26.25">
      <c r="A57" s="24"/>
      <c r="B57" s="13"/>
      <c r="C57" s="576" t="s">
        <v>23</v>
      </c>
      <c r="D57" s="576"/>
    </row>
    <row r="58" spans="1:4" ht="33.75" customHeight="1">
      <c r="A58" s="24"/>
      <c r="B58" s="25"/>
      <c r="C58" s="577">
        <f>+C56+D56</f>
        <v>0</v>
      </c>
      <c r="D58" s="577"/>
    </row>
    <row r="60" spans="5:6" ht="12.75">
      <c r="E60" s="33"/>
      <c r="F60" s="34"/>
    </row>
  </sheetData>
  <sheetProtection password="AEBA" sheet="1" selectLockedCells="1"/>
  <mergeCells count="14">
    <mergeCell ref="C15:C17"/>
    <mergeCell ref="D15:D17"/>
    <mergeCell ref="A2:D2"/>
    <mergeCell ref="A1:D1"/>
    <mergeCell ref="C6:C8"/>
    <mergeCell ref="D6:D8"/>
    <mergeCell ref="A38:A41"/>
    <mergeCell ref="B38:B41"/>
    <mergeCell ref="C38:C41"/>
    <mergeCell ref="D38:D41"/>
    <mergeCell ref="C57:D57"/>
    <mergeCell ref="C58:D58"/>
    <mergeCell ref="C21:C27"/>
    <mergeCell ref="D21:D27"/>
  </mergeCells>
  <printOptions/>
  <pageMargins left="0.7874015748031497" right="0.7874015748031497" top="1.0236220472440944" bottom="1.0236220472440944" header="0.7874015748031497" footer="0.7874015748031497"/>
  <pageSetup horizontalDpi="300" verticalDpi="300" orientation="landscape" paperSize="8" r:id="rId2"/>
  <headerFooter alignWithMargins="0">
    <oddHeader>&amp;C&amp;A</oddHeader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66"/>
  <sheetViews>
    <sheetView zoomScale="70" zoomScaleNormal="70" zoomScalePageLayoutView="0" workbookViewId="0" topLeftCell="A1">
      <selection activeCell="C70" sqref="C70"/>
    </sheetView>
  </sheetViews>
  <sheetFormatPr defaultColWidth="11.57421875" defaultRowHeight="12.75"/>
  <cols>
    <col min="1" max="1" width="83.57421875" style="28" customWidth="1"/>
    <col min="2" max="2" width="48.421875" style="1" customWidth="1"/>
    <col min="3" max="3" width="20.7109375" style="1" customWidth="1"/>
    <col min="4" max="4" width="21.140625" style="1" customWidth="1"/>
    <col min="5" max="6" width="11.57421875" style="1" customWidth="1"/>
    <col min="7" max="7" width="29.8515625" style="1" bestFit="1" customWidth="1"/>
    <col min="8" max="8" width="13.00390625" style="1" bestFit="1" customWidth="1"/>
    <col min="9" max="9" width="13.421875" style="1" bestFit="1" customWidth="1"/>
    <col min="10" max="16384" width="11.57421875" style="1" customWidth="1"/>
  </cols>
  <sheetData>
    <row r="1" ht="13.5" thickBot="1"/>
    <row r="2" spans="1:4" ht="46.5" customHeight="1" thickBot="1">
      <c r="A2" s="566" t="s">
        <v>162</v>
      </c>
      <c r="B2" s="566"/>
      <c r="C2" s="566"/>
      <c r="D2" s="567"/>
    </row>
    <row r="3" spans="1:4" ht="46.5" customHeight="1">
      <c r="A3" s="565" t="s">
        <v>0</v>
      </c>
      <c r="B3" s="565"/>
      <c r="C3" s="565"/>
      <c r="D3" s="565"/>
    </row>
    <row r="4" spans="1:9" ht="15.75">
      <c r="A4" s="35"/>
      <c r="B4" s="3"/>
      <c r="G4" s="135" t="s">
        <v>138</v>
      </c>
      <c r="H4" s="135" t="s">
        <v>3</v>
      </c>
      <c r="I4" s="135" t="s">
        <v>4</v>
      </c>
    </row>
    <row r="5" spans="1:9" ht="18" customHeight="1" thickBot="1">
      <c r="A5" s="35"/>
      <c r="B5" s="3"/>
      <c r="G5" s="136" t="s">
        <v>139</v>
      </c>
      <c r="H5" s="138">
        <v>80.75</v>
      </c>
      <c r="I5" s="138">
        <v>104.5</v>
      </c>
    </row>
    <row r="6" spans="1:9" ht="51.75" customHeight="1" thickBot="1">
      <c r="A6" s="149" t="s">
        <v>1</v>
      </c>
      <c r="B6" s="131" t="s">
        <v>2</v>
      </c>
      <c r="C6" s="196" t="s">
        <v>3</v>
      </c>
      <c r="D6" s="196" t="s">
        <v>4</v>
      </c>
      <c r="G6" s="137" t="s">
        <v>140</v>
      </c>
      <c r="H6" s="138">
        <v>80.75</v>
      </c>
      <c r="I6" s="138">
        <v>104.5</v>
      </c>
    </row>
    <row r="7" spans="1:9" ht="30" customHeight="1" thickBot="1">
      <c r="A7" s="36" t="s">
        <v>24</v>
      </c>
      <c r="B7" s="129"/>
      <c r="C7" s="568" t="b">
        <f>IF(B7="x",H6,IF(B8="x",H9,IF(B9="x",H10,IF(B10="x",H11))))</f>
        <v>0</v>
      </c>
      <c r="D7" s="568" t="b">
        <f>IF(B7="x",I6,IF(B8="x",I9,IF(B9="x",I10,IF(B10="x",I11))))</f>
        <v>0</v>
      </c>
      <c r="G7" s="136" t="s">
        <v>141</v>
      </c>
      <c r="H7" s="138">
        <v>72.25</v>
      </c>
      <c r="I7" s="138">
        <v>93.5</v>
      </c>
    </row>
    <row r="8" spans="1:9" ht="16.5" customHeight="1" thickBot="1">
      <c r="A8" s="8" t="s">
        <v>25</v>
      </c>
      <c r="B8" s="129"/>
      <c r="C8" s="568"/>
      <c r="D8" s="568"/>
      <c r="G8" s="136" t="s">
        <v>142</v>
      </c>
      <c r="H8" s="138">
        <v>80.75</v>
      </c>
      <c r="I8" s="138">
        <v>104.5</v>
      </c>
    </row>
    <row r="9" spans="1:9" ht="16.5" thickBot="1">
      <c r="A9" s="8" t="s">
        <v>26</v>
      </c>
      <c r="B9" s="129"/>
      <c r="C9" s="568"/>
      <c r="D9" s="568"/>
      <c r="G9" s="136" t="s">
        <v>143</v>
      </c>
      <c r="H9" s="138">
        <v>20.4</v>
      </c>
      <c r="I9" s="138">
        <v>5.95</v>
      </c>
    </row>
    <row r="10" spans="1:9" ht="16.5" thickBot="1">
      <c r="A10" s="10" t="s">
        <v>27</v>
      </c>
      <c r="B10" s="129"/>
      <c r="C10" s="568"/>
      <c r="D10" s="568"/>
      <c r="G10" s="136" t="s">
        <v>144</v>
      </c>
      <c r="H10" s="138">
        <v>20.4</v>
      </c>
      <c r="I10" s="138">
        <v>5.95</v>
      </c>
    </row>
    <row r="11" spans="1:9" ht="24" thickBot="1">
      <c r="A11" s="12"/>
      <c r="B11" s="37"/>
      <c r="C11" s="177"/>
      <c r="D11" s="175"/>
      <c r="G11" s="136" t="s">
        <v>145</v>
      </c>
      <c r="H11" s="138">
        <v>20.4</v>
      </c>
      <c r="I11" s="138">
        <v>5.95</v>
      </c>
    </row>
    <row r="12" spans="1:4" ht="24" thickBot="1">
      <c r="A12" s="149" t="s">
        <v>9</v>
      </c>
      <c r="B12" s="5" t="s">
        <v>28</v>
      </c>
      <c r="C12" s="171"/>
      <c r="D12" s="172"/>
    </row>
    <row r="13" spans="1:4" ht="39" thickBot="1">
      <c r="A13" s="14" t="s">
        <v>11</v>
      </c>
      <c r="B13" s="15"/>
      <c r="C13" s="173" t="str">
        <f>IF(B13="x","98%",IF(B13="","0%"))</f>
        <v>0%</v>
      </c>
      <c r="D13" s="174" t="str">
        <f>IF(B13="x","98%",IF(B13="","0%"))</f>
        <v>0%</v>
      </c>
    </row>
    <row r="14" spans="1:4" ht="21.75" customHeight="1" thickBot="1">
      <c r="A14" s="16"/>
      <c r="B14" s="13"/>
      <c r="C14" s="170"/>
      <c r="D14" s="170"/>
    </row>
    <row r="15" spans="1:4" ht="24" thickBot="1">
      <c r="A15" s="16"/>
      <c r="B15" s="38" t="s">
        <v>16</v>
      </c>
      <c r="C15" s="169">
        <f>+C7-(C7*C13)</f>
        <v>0</v>
      </c>
      <c r="D15" s="169">
        <f>+D7-(D7*D13)</f>
        <v>0</v>
      </c>
    </row>
    <row r="16" spans="1:4" ht="125.25" customHeight="1" thickBot="1">
      <c r="A16" s="149" t="s">
        <v>12</v>
      </c>
      <c r="B16" s="128" t="s">
        <v>230</v>
      </c>
      <c r="C16" s="175"/>
      <c r="D16" s="175"/>
    </row>
    <row r="17" spans="1:4" ht="38.25" customHeight="1">
      <c r="A17" s="18" t="s">
        <v>13</v>
      </c>
      <c r="B17" s="129"/>
      <c r="C17" s="468">
        <f>IF(B17="in","0,6",IF(B18="in","0,5",IF(B17="out","1",IF(B18="out","1",))))</f>
        <v>0</v>
      </c>
      <c r="D17" s="469">
        <f>IF(B17="in","0,6",IF(B18="in","0,5",IF(B19="in","0,3",IF(B17="out","1",IF(B18="out","1",IF(B19="out","0,3",))))))</f>
        <v>0</v>
      </c>
    </row>
    <row r="18" spans="1:4" ht="40.5" customHeight="1">
      <c r="A18" s="20" t="s">
        <v>14</v>
      </c>
      <c r="B18" s="129"/>
      <c r="C18" s="569"/>
      <c r="D18" s="559"/>
    </row>
    <row r="19" spans="1:4" ht="41.25" customHeight="1" thickBot="1">
      <c r="A19" s="22" t="s">
        <v>15</v>
      </c>
      <c r="B19" s="129"/>
      <c r="C19" s="186" t="str">
        <f>IF(AND(B19="x",B24="x"),"0,20",IF(AND(B19="",B24=""),"0%",IF(B19="x","0,30")))</f>
        <v>0%</v>
      </c>
      <c r="D19" s="187" t="str">
        <f>IF(AND(B19="x",B24="x"),"0,20",IF(AND(B19="",B24=""),"0%",IF(B19="x","0,30")))</f>
        <v>0%</v>
      </c>
    </row>
    <row r="20" spans="1:4" ht="54" customHeight="1">
      <c r="A20" s="18" t="s">
        <v>136</v>
      </c>
      <c r="B20" s="129"/>
      <c r="C20" s="569">
        <f>IF(B20="in","0,6",IF(B21="in","0,5",IF(B20="out","1",IF(B21="out","1",))))</f>
        <v>0</v>
      </c>
      <c r="D20" s="559">
        <f>IF(B20="in","0,6",IF(B21="in","0,5",IF(B20="out","1",IF(B21="out","1",))))</f>
        <v>0</v>
      </c>
    </row>
    <row r="21" spans="1:4" ht="47.25" customHeight="1" thickBot="1">
      <c r="A21" s="22" t="s">
        <v>137</v>
      </c>
      <c r="B21" s="129"/>
      <c r="C21" s="570"/>
      <c r="D21" s="560"/>
    </row>
    <row r="22" spans="1:4" ht="24" thickBot="1">
      <c r="A22" s="39"/>
      <c r="B22" s="40"/>
      <c r="C22" s="203"/>
      <c r="D22" s="170"/>
    </row>
    <row r="23" spans="1:4" ht="61.5" thickBot="1">
      <c r="A23" s="149" t="s">
        <v>29</v>
      </c>
      <c r="B23" s="17" t="s">
        <v>10</v>
      </c>
      <c r="C23" s="204"/>
      <c r="D23" s="170"/>
    </row>
    <row r="24" spans="1:4" ht="120" customHeight="1" thickBot="1">
      <c r="A24" s="41" t="s">
        <v>164</v>
      </c>
      <c r="B24" s="15"/>
      <c r="C24" s="170"/>
      <c r="D24" s="170"/>
    </row>
    <row r="25" spans="1:4" ht="59.25" customHeight="1" thickBot="1">
      <c r="A25" s="12"/>
      <c r="B25" s="13"/>
      <c r="C25" s="177"/>
      <c r="D25" s="177"/>
    </row>
    <row r="26" spans="1:4" ht="24" thickBot="1">
      <c r="A26" s="24"/>
      <c r="B26" s="38" t="s">
        <v>16</v>
      </c>
      <c r="C26" s="179">
        <f>+C15*C17+C15*C19+C15*C20</f>
        <v>0</v>
      </c>
      <c r="D26" s="179">
        <f>+D15*D17+D15*D19+D15*D20</f>
        <v>0</v>
      </c>
    </row>
    <row r="27" spans="1:4" ht="90.75" customHeight="1" thickBot="1">
      <c r="A27" s="149" t="s">
        <v>222</v>
      </c>
      <c r="B27" s="128" t="s">
        <v>260</v>
      </c>
      <c r="C27" s="180"/>
      <c r="D27" s="181"/>
    </row>
    <row r="28" spans="1:4" ht="39" customHeight="1" thickBot="1">
      <c r="A28" s="18" t="s">
        <v>17</v>
      </c>
      <c r="B28" s="42"/>
      <c r="C28" s="467" t="b">
        <f>IF(B28="x","0%",IF(B29="x","35%",IF(B30="x","35%",IF(B31="x","35%",IF(B32="x","35%",IF(B33="x","35%"))))))</f>
        <v>0</v>
      </c>
      <c r="D28" s="467" t="b">
        <f>IF(B28="x","0%",IF(B29="x","35%",IF(B30="x","35%",IF(B31="x","35%",IF(B32="x","35%",IF(B33="x","35%"))))))</f>
        <v>0</v>
      </c>
    </row>
    <row r="29" spans="1:4" ht="27" customHeight="1" thickBot="1">
      <c r="A29" s="29" t="s">
        <v>257</v>
      </c>
      <c r="B29" s="43"/>
      <c r="C29" s="467"/>
      <c r="D29" s="467"/>
    </row>
    <row r="30" spans="1:4" ht="112.5" customHeight="1" thickBot="1">
      <c r="A30" s="357" t="s">
        <v>258</v>
      </c>
      <c r="B30" s="43"/>
      <c r="C30" s="467"/>
      <c r="D30" s="467"/>
    </row>
    <row r="31" spans="1:4" ht="34.5" customHeight="1" thickBot="1">
      <c r="A31" s="29" t="s">
        <v>259</v>
      </c>
      <c r="B31" s="130"/>
      <c r="C31" s="467"/>
      <c r="D31" s="467"/>
    </row>
    <row r="32" spans="1:4" ht="72" customHeight="1" thickBot="1">
      <c r="A32" s="358" t="s">
        <v>262</v>
      </c>
      <c r="B32" s="130"/>
      <c r="C32" s="467"/>
      <c r="D32" s="467"/>
    </row>
    <row r="33" spans="1:4" ht="16.5" thickBot="1">
      <c r="A33" s="8"/>
      <c r="B33" s="44"/>
      <c r="C33" s="467"/>
      <c r="D33" s="467"/>
    </row>
    <row r="34" spans="1:4" ht="23.25">
      <c r="A34" s="24"/>
      <c r="B34" s="13"/>
      <c r="C34" s="177"/>
      <c r="D34" s="177"/>
    </row>
    <row r="35" spans="1:4" ht="56.25" customHeight="1">
      <c r="A35" s="24"/>
      <c r="B35" s="30" t="s">
        <v>16</v>
      </c>
      <c r="C35" s="182">
        <f>+C26-(C26*C28)</f>
        <v>0</v>
      </c>
      <c r="D35" s="182">
        <f>+D26-(D26*D28)</f>
        <v>0</v>
      </c>
    </row>
    <row r="36" spans="1:4" ht="54" customHeight="1" thickBot="1">
      <c r="A36" s="149" t="s">
        <v>18</v>
      </c>
      <c r="B36" s="17" t="s">
        <v>19</v>
      </c>
      <c r="C36" s="177"/>
      <c r="D36" s="183"/>
    </row>
    <row r="37" spans="1:4" ht="37.5" customHeight="1">
      <c r="A37" s="18" t="s">
        <v>148</v>
      </c>
      <c r="B37" s="19"/>
      <c r="C37" s="184" t="str">
        <f>IF(B37="x","0%",IF(B37="","0%",))</f>
        <v>0%</v>
      </c>
      <c r="D37" s="185" t="str">
        <f>IF(B37="x","50%",IF(B37="","0%"))</f>
        <v>0%</v>
      </c>
    </row>
    <row r="38" spans="1:4" ht="33.75" customHeight="1">
      <c r="A38" s="20" t="s">
        <v>149</v>
      </c>
      <c r="B38" s="21"/>
      <c r="C38" s="186" t="str">
        <f>IF(B38="x","20%",IF(B38="","0%"))</f>
        <v>0%</v>
      </c>
      <c r="D38" s="187" t="str">
        <f>IF(B38="x","20%",IF(B38="","0%"))</f>
        <v>0%</v>
      </c>
    </row>
    <row r="39" spans="1:4" ht="36.75" customHeight="1">
      <c r="A39" s="20" t="s">
        <v>150</v>
      </c>
      <c r="B39" s="21"/>
      <c r="C39" s="186" t="str">
        <f>IF(B39="x","20%",IF(B39="","0%"))</f>
        <v>0%</v>
      </c>
      <c r="D39" s="187" t="str">
        <f>IF(B39="x","20%",IF(B39="","0%"))</f>
        <v>0%</v>
      </c>
    </row>
    <row r="40" spans="1:4" ht="30" customHeight="1">
      <c r="A40" s="20" t="s">
        <v>151</v>
      </c>
      <c r="B40" s="21"/>
      <c r="C40" s="186" t="str">
        <f>IF(B40="x","30%",IF(B40="","0%"))</f>
        <v>0%</v>
      </c>
      <c r="D40" s="187" t="str">
        <f>IF(B40="x","30%",IF(B40="","0%"))</f>
        <v>0%</v>
      </c>
    </row>
    <row r="41" spans="1:4" ht="30" customHeight="1">
      <c r="A41" s="20"/>
      <c r="B41" s="159" t="s">
        <v>163</v>
      </c>
      <c r="C41" s="205">
        <f>+C37+C38+C39</f>
        <v>0</v>
      </c>
      <c r="D41" s="206">
        <f>+D37+D38+D39</f>
        <v>0</v>
      </c>
    </row>
    <row r="42" spans="1:4" ht="37.5" customHeight="1">
      <c r="A42" s="20" t="s">
        <v>152</v>
      </c>
      <c r="B42" s="21"/>
      <c r="C42" s="186" t="str">
        <f>IF(B42="x","5%",IF(B42="","0%"))</f>
        <v>0%</v>
      </c>
      <c r="D42" s="187" t="str">
        <f>IF(B42="x","5%",IF(B42="","0%"))</f>
        <v>0%</v>
      </c>
    </row>
    <row r="43" spans="1:4" ht="49.5" customHeight="1">
      <c r="A43" s="31" t="s">
        <v>153</v>
      </c>
      <c r="B43" s="129"/>
      <c r="C43" s="190" t="str">
        <f>IF(B43="x","10%",IF(B43="","0%"))</f>
        <v>0%</v>
      </c>
      <c r="D43" s="190" t="str">
        <f>IF(B43="x","10%",IF(B43="","0%"))</f>
        <v>0%</v>
      </c>
    </row>
    <row r="44" spans="1:4" ht="25.5" customHeight="1" thickBot="1">
      <c r="A44" s="561" t="s">
        <v>154</v>
      </c>
      <c r="B44" s="575"/>
      <c r="C44" s="563" t="str">
        <f>IF(B44="x","5%",IF(B44="","0%"))</f>
        <v>0%</v>
      </c>
      <c r="D44" s="563" t="str">
        <f>IF(B44="x","5%",IF(B44="","0%"))</f>
        <v>0%</v>
      </c>
    </row>
    <row r="45" spans="1:4" ht="23.25" customHeight="1" thickBot="1">
      <c r="A45" s="562"/>
      <c r="B45" s="575"/>
      <c r="C45" s="563"/>
      <c r="D45" s="563"/>
    </row>
    <row r="46" spans="1:4" ht="23.25" customHeight="1" thickBot="1">
      <c r="A46" s="562"/>
      <c r="B46" s="575"/>
      <c r="C46" s="563"/>
      <c r="D46" s="563"/>
    </row>
    <row r="47" spans="1:4" ht="24" customHeight="1" thickBot="1">
      <c r="A47" s="466"/>
      <c r="B47" s="575"/>
      <c r="C47" s="564"/>
      <c r="D47" s="564"/>
    </row>
    <row r="48" spans="1:4" ht="99" customHeight="1">
      <c r="A48" s="20" t="s">
        <v>155</v>
      </c>
      <c r="B48" s="134"/>
      <c r="C48" s="191" t="str">
        <f>IF(B48="x","10%",IF(B48="","0%"))</f>
        <v>0%</v>
      </c>
      <c r="D48" s="191" t="str">
        <f>IF(B48="x","10%",IF(B48="","0%"))</f>
        <v>0%</v>
      </c>
    </row>
    <row r="49" spans="1:4" ht="83.25" customHeight="1">
      <c r="A49" s="20" t="s">
        <v>156</v>
      </c>
      <c r="B49" s="134"/>
      <c r="C49" s="192" t="str">
        <f>IF(B49="x","15%",IF(B49="","0%"))</f>
        <v>0%</v>
      </c>
      <c r="D49" s="192" t="str">
        <f>IF(B49="x","15%",IF(B49="","0%"))</f>
        <v>0%</v>
      </c>
    </row>
    <row r="50" spans="1:4" ht="83.25" customHeight="1">
      <c r="A50" s="20" t="s">
        <v>157</v>
      </c>
      <c r="B50" s="134"/>
      <c r="C50" s="190" t="str">
        <f>IF(B50="x","20%",IF(B50="","0%"))</f>
        <v>0%</v>
      </c>
      <c r="D50" s="190" t="str">
        <f>IF(B50="x","20%",IF(B50="","0%"))</f>
        <v>0%</v>
      </c>
    </row>
    <row r="51" spans="1:4" ht="31.5" customHeight="1">
      <c r="A51" s="20" t="s">
        <v>158</v>
      </c>
      <c r="B51" s="134"/>
      <c r="C51" s="190" t="str">
        <f>IF(B51="x","15%",IF(B51="","0%"))</f>
        <v>0%</v>
      </c>
      <c r="D51" s="190" t="str">
        <f>IF(B51="x","15%",IF(B51="","0%"))</f>
        <v>0%</v>
      </c>
    </row>
    <row r="52" spans="1:4" ht="35.25" customHeight="1">
      <c r="A52" s="20" t="s">
        <v>159</v>
      </c>
      <c r="B52" s="134"/>
      <c r="C52" s="190" t="str">
        <f>IF(B52="x","30%",IF(B52="","0%"))</f>
        <v>0%</v>
      </c>
      <c r="D52" s="190" t="str">
        <f>IF(B52="x","30%",IF(B52="","0%"))</f>
        <v>0%</v>
      </c>
    </row>
    <row r="53" spans="1:4" ht="30.75" customHeight="1">
      <c r="A53" s="20" t="s">
        <v>160</v>
      </c>
      <c r="B53" s="134"/>
      <c r="C53" s="190" t="str">
        <f>IF(B53="x","15%",IF(B53="","0%"))</f>
        <v>0%</v>
      </c>
      <c r="D53" s="190" t="str">
        <f>IF(B53="x","15%",IF(B53="","0%"))</f>
        <v>0%</v>
      </c>
    </row>
    <row r="54" spans="1:4" ht="33.75" customHeight="1">
      <c r="A54" s="20" t="s">
        <v>161</v>
      </c>
      <c r="B54" s="134"/>
      <c r="C54" s="190" t="str">
        <f>IF(B54="x","15%",IF(B54="","0%"))</f>
        <v>0%</v>
      </c>
      <c r="D54" s="190" t="str">
        <f>IF(B54="x","15%",IF(B54="","0%"))</f>
        <v>0%</v>
      </c>
    </row>
    <row r="55" spans="1:4" ht="27.75" customHeight="1">
      <c r="A55" s="24"/>
      <c r="B55" s="159" t="s">
        <v>163</v>
      </c>
      <c r="C55" s="206">
        <f>+C42+C43+C44+C45+C46+C47+C48+C49+C50+C51+C52+C53+C54</f>
        <v>0</v>
      </c>
      <c r="D55" s="205">
        <f>+D42+D43+D44+D45+D46+D47+D48+D49+D50+D51+D52+D53+D54</f>
        <v>0</v>
      </c>
    </row>
    <row r="56" spans="1:4" ht="34.5" customHeight="1" thickBot="1">
      <c r="A56" s="160"/>
      <c r="B56" s="157" t="s">
        <v>246</v>
      </c>
      <c r="C56" s="207">
        <f>IF(C55&lt;=0.3,C55,IF(C55&gt;0.3,"30%"))</f>
        <v>0</v>
      </c>
      <c r="D56" s="207">
        <f>IF(D55&lt;=0.3,D55,IF(D55&gt;0.3,"30%"))</f>
        <v>0</v>
      </c>
    </row>
    <row r="57" spans="1:4" ht="31.5" customHeight="1" thickBot="1">
      <c r="A57" s="24"/>
      <c r="B57" s="157" t="s">
        <v>247</v>
      </c>
      <c r="C57" s="194">
        <f>IF((C55+C41)&lt;=0.7,(C56+C41),IF((C55+C41)&gt;0.7,"70%"))</f>
        <v>0</v>
      </c>
      <c r="D57" s="194">
        <f>IF((D55+D41)&lt;=0.7,(D56+D41),IF((D55+D41)&gt;0.7,"70%"))</f>
        <v>0</v>
      </c>
    </row>
    <row r="58" spans="1:4" ht="23.25">
      <c r="A58" s="24"/>
      <c r="B58" s="13"/>
      <c r="C58" s="177"/>
      <c r="D58" s="177"/>
    </row>
    <row r="59" spans="1:4" ht="24" thickBot="1">
      <c r="A59" s="24"/>
      <c r="B59" s="13"/>
      <c r="C59" s="177"/>
      <c r="D59" s="177"/>
    </row>
    <row r="60" spans="1:4" ht="20.25">
      <c r="A60" s="24"/>
      <c r="B60" s="13" t="s">
        <v>20</v>
      </c>
      <c r="C60" s="195" t="s">
        <v>3</v>
      </c>
      <c r="D60" s="196" t="s">
        <v>4</v>
      </c>
    </row>
    <row r="61" spans="1:4" ht="23.25">
      <c r="A61" s="24"/>
      <c r="B61" s="13"/>
      <c r="C61" s="197">
        <f>+C35-(C35*C57)</f>
        <v>0</v>
      </c>
      <c r="D61" s="179">
        <f>+D35-(D35*D57)</f>
        <v>0</v>
      </c>
    </row>
    <row r="62" spans="1:4" ht="23.25">
      <c r="A62" s="24"/>
      <c r="B62" s="13"/>
      <c r="C62" s="198"/>
      <c r="D62" s="198"/>
    </row>
    <row r="63" spans="1:4" ht="30">
      <c r="A63" s="24"/>
      <c r="B63" s="45" t="b">
        <f>IF(B7="x","SU mq",IF(B8="x","SL mq",IF(B9="x","SL mq",IF(B10="x","SL mq"))))</f>
        <v>0</v>
      </c>
      <c r="C63" s="199" t="s">
        <v>21</v>
      </c>
      <c r="D63" s="200" t="s">
        <v>22</v>
      </c>
    </row>
    <row r="64" spans="2:4" ht="26.25">
      <c r="B64" s="46">
        <v>0</v>
      </c>
      <c r="C64" s="201">
        <f>+B64*C61</f>
        <v>0</v>
      </c>
      <c r="D64" s="202">
        <f>+B64*D61</f>
        <v>0</v>
      </c>
    </row>
    <row r="65" spans="1:4" ht="26.25">
      <c r="A65" s="24"/>
      <c r="B65" s="13"/>
      <c r="C65" s="576" t="s">
        <v>23</v>
      </c>
      <c r="D65" s="576"/>
    </row>
    <row r="66" spans="1:4" ht="23.25">
      <c r="A66" s="24"/>
      <c r="B66" s="25"/>
      <c r="C66" s="577">
        <f>+C64+D64</f>
        <v>0</v>
      </c>
      <c r="D66" s="577"/>
    </row>
  </sheetData>
  <sheetProtection password="AEBA" sheet="1"/>
  <mergeCells count="16">
    <mergeCell ref="A3:D3"/>
    <mergeCell ref="C65:D65"/>
    <mergeCell ref="C66:D66"/>
    <mergeCell ref="A2:D2"/>
    <mergeCell ref="C7:C10"/>
    <mergeCell ref="D7:D10"/>
    <mergeCell ref="C28:C33"/>
    <mergeCell ref="D28:D33"/>
    <mergeCell ref="C17:C18"/>
    <mergeCell ref="D17:D18"/>
    <mergeCell ref="C20:C21"/>
    <mergeCell ref="D20:D21"/>
    <mergeCell ref="A44:A47"/>
    <mergeCell ref="B44:B47"/>
    <mergeCell ref="C44:C47"/>
    <mergeCell ref="D44:D47"/>
  </mergeCells>
  <printOptions/>
  <pageMargins left="0.7875" right="0.7875" top="1.025" bottom="1.025" header="0.7875" footer="0.7875"/>
  <pageSetup horizontalDpi="300" verticalDpi="300" orientation="landscape" paperSize="8" r:id="rId2"/>
  <headerFooter alignWithMargins="0">
    <oddHeader>&amp;C&amp;A</oddHeader>
    <oddFooter>&amp;CPagina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56"/>
  <sheetViews>
    <sheetView zoomScale="80" zoomScaleNormal="80" zoomScalePageLayoutView="0" workbookViewId="0" topLeftCell="E1">
      <selection activeCell="K33" sqref="K33"/>
    </sheetView>
  </sheetViews>
  <sheetFormatPr defaultColWidth="34.7109375" defaultRowHeight="12.75"/>
  <cols>
    <col min="1" max="1" width="18.421875" style="1" customWidth="1"/>
    <col min="2" max="2" width="33.00390625" style="1" customWidth="1"/>
    <col min="3" max="4" width="18.421875" style="1" customWidth="1"/>
    <col min="5" max="5" width="15.57421875" style="1" customWidth="1"/>
    <col min="6" max="6" width="10.57421875" style="1" customWidth="1"/>
    <col min="7" max="7" width="22.57421875" style="1" customWidth="1"/>
    <col min="8" max="10" width="25.57421875" style="1" customWidth="1"/>
    <col min="11" max="12" width="20.421875" style="1" customWidth="1"/>
    <col min="13" max="13" width="25.421875" style="1" customWidth="1"/>
    <col min="14" max="17" width="20.421875" style="1" customWidth="1"/>
    <col min="18" max="18" width="14.00390625" style="1" customWidth="1"/>
    <col min="19" max="19" width="13.421875" style="1" customWidth="1"/>
    <col min="20" max="20" width="21.140625" style="1" customWidth="1"/>
    <col min="21" max="21" width="16.00390625" style="1" customWidth="1"/>
    <col min="22" max="22" width="11.00390625" style="1" customWidth="1"/>
    <col min="23" max="23" width="8.28125" style="1" customWidth="1"/>
    <col min="24" max="24" width="31.8515625" style="1" customWidth="1"/>
    <col min="25" max="25" width="32.8515625" style="1" customWidth="1"/>
    <col min="26" max="16384" width="34.7109375" style="1" customWidth="1"/>
  </cols>
  <sheetData>
    <row r="1" spans="8:12" ht="18">
      <c r="H1" s="47"/>
      <c r="I1" s="48"/>
      <c r="J1" s="49"/>
      <c r="K1" s="48"/>
      <c r="L1" s="50"/>
    </row>
    <row r="2" spans="8:12" ht="58.5" customHeight="1">
      <c r="H2" s="605" t="s">
        <v>47</v>
      </c>
      <c r="I2" s="605"/>
      <c r="J2" s="605"/>
      <c r="K2" s="605"/>
      <c r="L2" s="605"/>
    </row>
    <row r="3" spans="8:12" ht="18">
      <c r="H3" s="47"/>
      <c r="I3" s="48"/>
      <c r="J3" s="49"/>
      <c r="K3" s="48"/>
      <c r="L3" s="50"/>
    </row>
    <row r="4" spans="8:12" ht="18">
      <c r="H4" s="606" t="s">
        <v>48</v>
      </c>
      <c r="I4" s="606"/>
      <c r="J4" s="606"/>
      <c r="K4" s="606"/>
      <c r="L4" s="606"/>
    </row>
    <row r="5" spans="8:12" ht="18">
      <c r="H5" s="47"/>
      <c r="I5" s="48"/>
      <c r="J5" s="49"/>
      <c r="K5" s="48"/>
      <c r="L5" s="50"/>
    </row>
    <row r="6" spans="7:12" ht="27.75" customHeight="1" thickBot="1">
      <c r="G6" s="208" t="s">
        <v>250</v>
      </c>
      <c r="H6" s="209" t="s">
        <v>49</v>
      </c>
      <c r="I6" s="51" t="s">
        <v>50</v>
      </c>
      <c r="J6" s="213" t="s">
        <v>51</v>
      </c>
      <c r="K6" s="214" t="s">
        <v>52</v>
      </c>
      <c r="L6" s="208" t="s">
        <v>53</v>
      </c>
    </row>
    <row r="7" spans="7:12" ht="13.5" thickBot="1">
      <c r="G7" s="210" t="s">
        <v>251</v>
      </c>
      <c r="H7" s="210" t="s">
        <v>54</v>
      </c>
      <c r="I7" s="52" t="s">
        <v>55</v>
      </c>
      <c r="J7" s="210" t="s">
        <v>56</v>
      </c>
      <c r="K7" s="210" t="s">
        <v>57</v>
      </c>
      <c r="L7" s="210" t="s">
        <v>58</v>
      </c>
    </row>
    <row r="8" spans="7:12" ht="13.5" thickBot="1">
      <c r="G8" s="211" t="s">
        <v>252</v>
      </c>
      <c r="H8" s="552">
        <v>1</v>
      </c>
      <c r="I8" s="506">
        <f>+F425</f>
        <v>0</v>
      </c>
      <c r="J8" s="215" t="e">
        <f>+I8/I20</f>
        <v>#DIV/0!</v>
      </c>
      <c r="K8" s="556">
        <v>0</v>
      </c>
      <c r="L8" s="557" t="e">
        <f aca="true" t="shared" si="0" ref="L8:L17">+K8*J8</f>
        <v>#DIV/0!</v>
      </c>
    </row>
    <row r="9" spans="7:12" ht="13.5" thickBot="1">
      <c r="G9" s="211" t="s">
        <v>253</v>
      </c>
      <c r="H9" s="552">
        <v>1</v>
      </c>
      <c r="I9" s="506">
        <f>+F426</f>
        <v>0</v>
      </c>
      <c r="J9" s="215" t="e">
        <f>+I9/I20</f>
        <v>#DIV/0!</v>
      </c>
      <c r="K9" s="556">
        <v>0.05</v>
      </c>
      <c r="L9" s="557" t="e">
        <f t="shared" si="0"/>
        <v>#DIV/0!</v>
      </c>
    </row>
    <row r="10" spans="7:12" ht="13.5" thickBot="1">
      <c r="G10" s="211" t="s">
        <v>254</v>
      </c>
      <c r="H10" s="552">
        <v>1</v>
      </c>
      <c r="I10" s="506">
        <f>+F427</f>
        <v>0</v>
      </c>
      <c r="J10" s="215" t="e">
        <f>+I10/I20</f>
        <v>#DIV/0!</v>
      </c>
      <c r="K10" s="556">
        <v>0.15</v>
      </c>
      <c r="L10" s="557" t="e">
        <f t="shared" si="0"/>
        <v>#DIV/0!</v>
      </c>
    </row>
    <row r="11" spans="7:12" ht="13.5" thickBot="1">
      <c r="G11" s="211" t="s">
        <v>255</v>
      </c>
      <c r="H11" s="552">
        <v>1</v>
      </c>
      <c r="I11" s="506">
        <f>+F428</f>
        <v>0</v>
      </c>
      <c r="J11" s="215" t="e">
        <f>+I11/I20</f>
        <v>#DIV/0!</v>
      </c>
      <c r="K11" s="556">
        <v>0.35</v>
      </c>
      <c r="L11" s="557" t="e">
        <f t="shared" si="0"/>
        <v>#DIV/0!</v>
      </c>
    </row>
    <row r="12" spans="7:12" ht="13.5" thickBot="1">
      <c r="G12" s="211" t="s">
        <v>256</v>
      </c>
      <c r="H12" s="552">
        <v>1</v>
      </c>
      <c r="I12" s="506">
        <f>+F429</f>
        <v>0</v>
      </c>
      <c r="J12" s="215" t="e">
        <f>+I12/I20</f>
        <v>#DIV/0!</v>
      </c>
      <c r="K12" s="556">
        <v>0.5</v>
      </c>
      <c r="L12" s="557" t="e">
        <f t="shared" si="0"/>
        <v>#DIV/0!</v>
      </c>
    </row>
    <row r="13" spans="7:12" ht="13.5" thickBot="1">
      <c r="G13" s="212"/>
      <c r="H13" s="388">
        <v>1</v>
      </c>
      <c r="I13" s="520">
        <v>0</v>
      </c>
      <c r="J13" s="215" t="e">
        <f>+I13/I20</f>
        <v>#DIV/0!</v>
      </c>
      <c r="K13" s="211" t="str">
        <f>IF(I13&gt;160,"50",IF(I13&gt;130,"30",IF(I13&gt;110,"15",IF(I13&gt;95,"5",IF(I13&lt;95,"0")))))</f>
        <v>0</v>
      </c>
      <c r="L13" s="215" t="e">
        <f t="shared" si="0"/>
        <v>#DIV/0!</v>
      </c>
    </row>
    <row r="14" spans="7:24" ht="13.5" thickBot="1">
      <c r="G14" s="212"/>
      <c r="H14" s="388">
        <v>1</v>
      </c>
      <c r="I14" s="520">
        <v>0</v>
      </c>
      <c r="J14" s="215" t="e">
        <f>+I14/I20</f>
        <v>#DIV/0!</v>
      </c>
      <c r="K14" s="211" t="str">
        <f>IF(I14&gt;160,"50",IF(I14&gt;130,"30",IF(I14&gt;110,"15",IF(I14&gt;95,"5",IF(I14&lt;95,"0")))))</f>
        <v>0</v>
      </c>
      <c r="L14" s="215" t="e">
        <f t="shared" si="0"/>
        <v>#DIV/0!</v>
      </c>
      <c r="Q14" s="378" t="s">
        <v>233</v>
      </c>
      <c r="R14" s="379" t="s">
        <v>234</v>
      </c>
      <c r="S14" s="379" t="e">
        <f>IF($J$30&lt;=5%,0,0)</f>
        <v>#DIV/0!</v>
      </c>
      <c r="T14" s="379"/>
      <c r="U14" s="379"/>
      <c r="V14" s="379" t="s">
        <v>233</v>
      </c>
      <c r="W14" s="379" t="s">
        <v>235</v>
      </c>
      <c r="X14" s="380" t="e">
        <f>IF(AND(30.01%&lt;=$J$30,$J$30&lt;=35%),30,0)</f>
        <v>#DIV/0!</v>
      </c>
    </row>
    <row r="15" spans="7:24" ht="13.5" thickBot="1">
      <c r="G15" s="212"/>
      <c r="H15" s="388">
        <v>1</v>
      </c>
      <c r="I15" s="520">
        <v>0</v>
      </c>
      <c r="J15" s="215" t="e">
        <f>+I15/I20</f>
        <v>#DIV/0!</v>
      </c>
      <c r="K15" s="211" t="str">
        <f>IF(I15&gt;160,"50",IF(I15&gt;130,"30",IF(I15&gt;110,"15",IF(I15&gt;95,"5",IF(I15&lt;95,"0")))))</f>
        <v>0</v>
      </c>
      <c r="L15" s="215" t="e">
        <f t="shared" si="0"/>
        <v>#DIV/0!</v>
      </c>
      <c r="Q15" s="381" t="s">
        <v>233</v>
      </c>
      <c r="R15" s="285" t="s">
        <v>236</v>
      </c>
      <c r="S15" s="285" t="e">
        <f>IF(AND(5.01%&lt;=$J$30,$J$30&lt;=10%),5,0)</f>
        <v>#DIV/0!</v>
      </c>
      <c r="T15" s="285"/>
      <c r="U15" s="285"/>
      <c r="V15" s="285" t="s">
        <v>233</v>
      </c>
      <c r="W15" s="285" t="s">
        <v>237</v>
      </c>
      <c r="X15" s="382" t="e">
        <f>IF(AND(35.01%&lt;=$J$30,$J$30&lt;=40%),35,0)</f>
        <v>#DIV/0!</v>
      </c>
    </row>
    <row r="16" spans="7:24" ht="13.5" thickBot="1">
      <c r="G16" s="212"/>
      <c r="H16" s="388">
        <v>1</v>
      </c>
      <c r="I16" s="520">
        <v>0</v>
      </c>
      <c r="J16" s="215" t="e">
        <f>+I16/I20</f>
        <v>#DIV/0!</v>
      </c>
      <c r="K16" s="211" t="str">
        <f>IF(I16&gt;160,"50",IF(I16&gt;130,"30",IF(I16&gt;110,"15",IF(I16&gt;95,"5",IF(I16&lt;95,"0")))))</f>
        <v>0</v>
      </c>
      <c r="L16" s="215" t="e">
        <f t="shared" si="0"/>
        <v>#DIV/0!</v>
      </c>
      <c r="Q16" s="381" t="s">
        <v>233</v>
      </c>
      <c r="R16" s="285" t="s">
        <v>238</v>
      </c>
      <c r="S16" s="285" t="e">
        <f>IF(AND(10.01%&lt;=$J$30,$J$30&lt;=15%),10,0)</f>
        <v>#DIV/0!</v>
      </c>
      <c r="T16" s="285"/>
      <c r="U16" s="285"/>
      <c r="V16" s="285" t="s">
        <v>233</v>
      </c>
      <c r="W16" s="285" t="s">
        <v>239</v>
      </c>
      <c r="X16" s="382" t="e">
        <f>IF(AND(40.01%&lt;=$J$30,$J$30&lt;=45%),40,0)</f>
        <v>#DIV/0!</v>
      </c>
    </row>
    <row r="17" spans="7:24" ht="13.5" thickBot="1">
      <c r="G17" s="212"/>
      <c r="H17" s="388">
        <v>1</v>
      </c>
      <c r="I17" s="520">
        <v>0</v>
      </c>
      <c r="J17" s="215" t="e">
        <f>+I17/I20</f>
        <v>#DIV/0!</v>
      </c>
      <c r="K17" s="211" t="str">
        <f>IF(I17&gt;160,"50",IF(I17&gt;130,"30",IF(I17&gt;110,"15",IF(I17&gt;95,"5",IF(I17&lt;95,"0")))))</f>
        <v>0</v>
      </c>
      <c r="L17" s="215" t="e">
        <f t="shared" si="0"/>
        <v>#DIV/0!</v>
      </c>
      <c r="Q17" s="381" t="s">
        <v>233</v>
      </c>
      <c r="R17" s="285" t="s">
        <v>240</v>
      </c>
      <c r="S17" s="285" t="e">
        <f>IF(AND(15.01%&lt;=$J$30,$J$30&lt;=20%),15,0)</f>
        <v>#DIV/0!</v>
      </c>
      <c r="T17" s="285"/>
      <c r="U17" s="285"/>
      <c r="V17" s="285" t="s">
        <v>233</v>
      </c>
      <c r="W17" s="285" t="s">
        <v>135</v>
      </c>
      <c r="X17" s="382" t="e">
        <f>IF(AND(45.01%&lt;=$J$30,$J$30&lt;=50%),45,0)</f>
        <v>#DIV/0!</v>
      </c>
    </row>
    <row r="18" spans="8:24" ht="12.75">
      <c r="H18" s="53"/>
      <c r="I18" s="54"/>
      <c r="J18" s="216"/>
      <c r="K18" s="217"/>
      <c r="L18" s="217"/>
      <c r="Q18" s="381" t="s">
        <v>233</v>
      </c>
      <c r="R18" s="285" t="s">
        <v>241</v>
      </c>
      <c r="S18" s="285" t="e">
        <f>IF(AND(20.01&lt;=$J$30,$J$30&lt;=25),20,0)</f>
        <v>#DIV/0!</v>
      </c>
      <c r="T18" s="285"/>
      <c r="U18" s="285"/>
      <c r="V18" s="285" t="s">
        <v>233</v>
      </c>
      <c r="W18" s="285" t="s">
        <v>242</v>
      </c>
      <c r="X18" s="382" t="e">
        <f>IF(50.01%&lt;$J$30,50%,0)</f>
        <v>#DIV/0!</v>
      </c>
    </row>
    <row r="19" spans="10:24" ht="13.5" thickBot="1">
      <c r="J19" s="212"/>
      <c r="K19" s="212"/>
      <c r="L19" s="218" t="s">
        <v>59</v>
      </c>
      <c r="Q19" s="383" t="s">
        <v>233</v>
      </c>
      <c r="R19" s="384" t="s">
        <v>243</v>
      </c>
      <c r="S19" s="384" t="e">
        <f>IF(AND(25.01%&lt;=$J$30,$J$30&lt;=30%),25,0)</f>
        <v>#DIV/0!</v>
      </c>
      <c r="T19" s="384"/>
      <c r="U19" s="384"/>
      <c r="V19" s="384"/>
      <c r="W19" s="384"/>
      <c r="X19" s="385" t="e">
        <f>MAX(S14:S19,X14:X18)</f>
        <v>#DIV/0!</v>
      </c>
    </row>
    <row r="20" spans="9:12" ht="16.5" thickBot="1">
      <c r="I20" s="219">
        <f>SUM(I8:I17)</f>
        <v>0</v>
      </c>
      <c r="J20" s="212"/>
      <c r="K20" s="212"/>
      <c r="L20" s="553" t="e">
        <f>SUM(L8:L17)</f>
        <v>#DIV/0!</v>
      </c>
    </row>
    <row r="22" spans="8:12" ht="18">
      <c r="H22" s="606" t="s">
        <v>60</v>
      </c>
      <c r="I22" s="606"/>
      <c r="J22" s="606"/>
      <c r="K22" s="606"/>
      <c r="L22" s="606"/>
    </row>
    <row r="23" ht="18">
      <c r="H23" s="47"/>
    </row>
    <row r="24" spans="8:12" ht="13.5" thickBot="1">
      <c r="H24" s="55" t="s">
        <v>61</v>
      </c>
      <c r="I24" s="220" t="s">
        <v>62</v>
      </c>
      <c r="J24" s="218" t="s">
        <v>63</v>
      </c>
      <c r="K24" s="212"/>
      <c r="L24" s="218" t="s">
        <v>64</v>
      </c>
    </row>
    <row r="25" spans="8:12" ht="18.75" customHeight="1" thickBot="1">
      <c r="H25" s="507">
        <f>+E422</f>
        <v>0</v>
      </c>
      <c r="I25" s="221">
        <f>+I20</f>
        <v>0</v>
      </c>
      <c r="J25" s="221" t="e">
        <f>+H25/I25*100</f>
        <v>#DIV/0!</v>
      </c>
      <c r="K25" s="212"/>
      <c r="L25" s="554" t="e">
        <f>IF(J25&gt;100,"30",IF(J25&gt;75,"20",IF(J25&gt;50,"10",IF(J25&lt;50,"0"))))</f>
        <v>#DIV/0!</v>
      </c>
    </row>
    <row r="27" spans="8:25" ht="27" customHeight="1">
      <c r="H27" s="607" t="s">
        <v>65</v>
      </c>
      <c r="I27" s="607"/>
      <c r="J27" s="607"/>
      <c r="K27" s="607"/>
      <c r="L27" s="607"/>
      <c r="Q27" s="286" t="s">
        <v>167</v>
      </c>
      <c r="R27" s="287"/>
      <c r="S27" s="288" t="s">
        <v>168</v>
      </c>
      <c r="T27" s="289"/>
      <c r="U27" s="288" t="s">
        <v>169</v>
      </c>
      <c r="V27" s="290"/>
      <c r="W27" s="212"/>
      <c r="X27" s="371" t="s">
        <v>192</v>
      </c>
      <c r="Y27" s="372"/>
    </row>
    <row r="28" spans="8:25" ht="15">
      <c r="H28" s="212"/>
      <c r="I28" s="212"/>
      <c r="J28" s="212"/>
      <c r="K28" s="212"/>
      <c r="L28" s="212"/>
      <c r="Q28" s="599"/>
      <c r="R28" s="600"/>
      <c r="S28" s="600"/>
      <c r="T28" s="600"/>
      <c r="U28" s="600"/>
      <c r="V28" s="601"/>
      <c r="W28" s="212"/>
      <c r="X28" s="373" t="s">
        <v>193</v>
      </c>
      <c r="Y28" s="374" t="s">
        <v>107</v>
      </c>
    </row>
    <row r="29" spans="8:25" ht="36" thickBot="1">
      <c r="H29" s="212"/>
      <c r="I29" s="212"/>
      <c r="J29" s="212"/>
      <c r="K29" s="222" t="s">
        <v>66</v>
      </c>
      <c r="L29" s="222" t="s">
        <v>67</v>
      </c>
      <c r="Q29" s="598" t="s">
        <v>170</v>
      </c>
      <c r="R29" s="586"/>
      <c r="S29" s="293" t="s">
        <v>171</v>
      </c>
      <c r="T29" s="586" t="s">
        <v>172</v>
      </c>
      <c r="U29" s="586"/>
      <c r="V29" s="293" t="s">
        <v>173</v>
      </c>
      <c r="W29" s="212"/>
      <c r="X29" s="375" t="s">
        <v>194</v>
      </c>
      <c r="Y29" s="374">
        <v>5</v>
      </c>
    </row>
    <row r="30" spans="8:25" ht="21" thickBot="1">
      <c r="H30" s="223" t="s">
        <v>68</v>
      </c>
      <c r="I30" s="224" t="s">
        <v>69</v>
      </c>
      <c r="J30" s="555" t="e">
        <f>+L25+L20</f>
        <v>#DIV/0!</v>
      </c>
      <c r="K30" s="225" t="e">
        <f>#VALUE!</f>
        <v>#VALUE!</v>
      </c>
      <c r="L30" s="226" t="e">
        <f>X19</f>
        <v>#DIV/0!</v>
      </c>
      <c r="M30" s="154"/>
      <c r="Q30" s="598" t="s">
        <v>174</v>
      </c>
      <c r="R30" s="586"/>
      <c r="S30" s="293" t="s">
        <v>175</v>
      </c>
      <c r="T30" s="586" t="s">
        <v>176</v>
      </c>
      <c r="U30" s="586"/>
      <c r="V30" s="293" t="s">
        <v>177</v>
      </c>
      <c r="W30" s="212"/>
      <c r="X30" s="375" t="s">
        <v>195</v>
      </c>
      <c r="Y30" s="374">
        <v>6</v>
      </c>
    </row>
    <row r="31" spans="12:25" ht="39" customHeight="1" thickBot="1">
      <c r="L31" s="147"/>
      <c r="M31" s="532" t="s">
        <v>340</v>
      </c>
      <c r="Q31" s="598" t="s">
        <v>178</v>
      </c>
      <c r="R31" s="586"/>
      <c r="S31" s="293" t="s">
        <v>179</v>
      </c>
      <c r="T31" s="586" t="s">
        <v>180</v>
      </c>
      <c r="U31" s="586"/>
      <c r="V31" s="293" t="s">
        <v>181</v>
      </c>
      <c r="W31" s="212"/>
      <c r="X31" s="375" t="s">
        <v>196</v>
      </c>
      <c r="Y31" s="374">
        <v>7</v>
      </c>
    </row>
    <row r="32" spans="8:25" ht="37.5" customHeight="1" thickBot="1">
      <c r="H32" s="223" t="s">
        <v>33</v>
      </c>
      <c r="I32" s="609" t="s">
        <v>70</v>
      </c>
      <c r="J32" s="609"/>
      <c r="K32" s="609"/>
      <c r="L32" s="15">
        <v>0</v>
      </c>
      <c r="M32" s="578" t="s">
        <v>339</v>
      </c>
      <c r="N32" s="579"/>
      <c r="Q32" s="598" t="s">
        <v>182</v>
      </c>
      <c r="R32" s="586"/>
      <c r="S32" s="293" t="s">
        <v>183</v>
      </c>
      <c r="T32" s="586" t="s">
        <v>184</v>
      </c>
      <c r="U32" s="586"/>
      <c r="V32" s="293" t="s">
        <v>185</v>
      </c>
      <c r="W32" s="212"/>
      <c r="X32" s="375" t="s">
        <v>197</v>
      </c>
      <c r="Y32" s="374">
        <v>8</v>
      </c>
    </row>
    <row r="33" spans="8:25" ht="16.5" thickBot="1">
      <c r="H33" s="212"/>
      <c r="I33" s="212"/>
      <c r="J33" s="212"/>
      <c r="K33" s="212"/>
      <c r="L33" s="56"/>
      <c r="Q33" s="598" t="s">
        <v>186</v>
      </c>
      <c r="R33" s="586"/>
      <c r="S33" s="293" t="s">
        <v>187</v>
      </c>
      <c r="T33" s="586" t="s">
        <v>188</v>
      </c>
      <c r="U33" s="586"/>
      <c r="V33" s="293" t="s">
        <v>189</v>
      </c>
      <c r="W33" s="212"/>
      <c r="X33" s="375" t="s">
        <v>198</v>
      </c>
      <c r="Y33" s="374">
        <v>9</v>
      </c>
    </row>
    <row r="34" spans="8:25" ht="21" thickBot="1">
      <c r="H34" s="223" t="s">
        <v>71</v>
      </c>
      <c r="I34" s="227" t="s">
        <v>72</v>
      </c>
      <c r="J34" s="228"/>
      <c r="K34" s="229" t="s">
        <v>73</v>
      </c>
      <c r="L34" s="230" t="e">
        <f>+L32*(L30/100+1)</f>
        <v>#DIV/0!</v>
      </c>
      <c r="M34" s="155"/>
      <c r="Q34" s="610" t="s">
        <v>190</v>
      </c>
      <c r="R34" s="611"/>
      <c r="S34" s="369" t="s">
        <v>191</v>
      </c>
      <c r="T34" s="608"/>
      <c r="U34" s="608"/>
      <c r="V34" s="370"/>
      <c r="W34" s="212"/>
      <c r="X34" s="375" t="s">
        <v>199</v>
      </c>
      <c r="Y34" s="374">
        <v>10</v>
      </c>
    </row>
    <row r="35" spans="12:25" ht="18">
      <c r="L35" s="144"/>
      <c r="Q35" s="212"/>
      <c r="R35" s="212"/>
      <c r="S35" s="212"/>
      <c r="T35" s="212"/>
      <c r="U35" s="212"/>
      <c r="V35" s="212"/>
      <c r="W35" s="212"/>
      <c r="X35" s="375" t="s">
        <v>200</v>
      </c>
      <c r="Y35" s="374">
        <v>11</v>
      </c>
    </row>
    <row r="36" spans="8:25" ht="18">
      <c r="H36" s="151" t="s">
        <v>74</v>
      </c>
      <c r="I36" s="152"/>
      <c r="J36" s="152"/>
      <c r="K36" s="152"/>
      <c r="L36" s="152"/>
      <c r="Q36" s="212"/>
      <c r="R36" s="212"/>
      <c r="S36" s="212"/>
      <c r="T36" s="212"/>
      <c r="U36" s="212"/>
      <c r="V36" s="212"/>
      <c r="W36" s="212"/>
      <c r="X36" s="375" t="s">
        <v>201</v>
      </c>
      <c r="Y36" s="374">
        <v>12</v>
      </c>
    </row>
    <row r="37" spans="12:25" ht="13.5" thickBot="1">
      <c r="L37" s="145"/>
      <c r="Q37" s="212"/>
      <c r="R37" s="212"/>
      <c r="S37" s="212"/>
      <c r="T37" s="212"/>
      <c r="U37" s="212"/>
      <c r="V37" s="212"/>
      <c r="W37" s="212"/>
      <c r="X37" s="375" t="s">
        <v>202</v>
      </c>
      <c r="Y37" s="374">
        <v>13</v>
      </c>
    </row>
    <row r="38" spans="5:25" ht="28.5" customHeight="1" thickBot="1">
      <c r="E38" s="231" t="s">
        <v>75</v>
      </c>
      <c r="F38" s="231" t="s">
        <v>76</v>
      </c>
      <c r="G38" s="57"/>
      <c r="H38" s="231" t="s">
        <v>77</v>
      </c>
      <c r="I38" s="231" t="s">
        <v>71</v>
      </c>
      <c r="J38" s="231" t="s">
        <v>78</v>
      </c>
      <c r="K38" s="237" t="s">
        <v>79</v>
      </c>
      <c r="L38" s="602" t="s">
        <v>80</v>
      </c>
      <c r="M38" s="603"/>
      <c r="N38" s="603"/>
      <c r="O38" s="603"/>
      <c r="P38" s="604"/>
      <c r="Q38" s="212"/>
      <c r="R38" s="212"/>
      <c r="S38" s="212"/>
      <c r="T38" s="212"/>
      <c r="U38" s="212"/>
      <c r="V38" s="212"/>
      <c r="W38" s="212"/>
      <c r="X38" s="376" t="s">
        <v>203</v>
      </c>
      <c r="Y38" s="377">
        <v>14</v>
      </c>
    </row>
    <row r="39" spans="5:17" ht="364.5" customHeight="1" thickBot="1">
      <c r="E39" s="232" t="s">
        <v>81</v>
      </c>
      <c r="F39" s="232" t="s">
        <v>82</v>
      </c>
      <c r="G39" s="58"/>
      <c r="H39" s="238" t="s">
        <v>83</v>
      </c>
      <c r="I39" s="239" t="s">
        <v>84</v>
      </c>
      <c r="J39" s="240" t="s">
        <v>85</v>
      </c>
      <c r="K39" s="241" t="s">
        <v>86</v>
      </c>
      <c r="L39" s="250" t="s">
        <v>165</v>
      </c>
      <c r="M39" s="251" t="s">
        <v>263</v>
      </c>
      <c r="N39" s="251" t="s">
        <v>147</v>
      </c>
      <c r="O39" s="251" t="s">
        <v>146</v>
      </c>
      <c r="P39" s="366" t="s">
        <v>267</v>
      </c>
      <c r="Q39" s="253" t="s">
        <v>87</v>
      </c>
    </row>
    <row r="40" spans="5:17" ht="24.75" customHeight="1" thickBot="1">
      <c r="E40" s="233" t="s">
        <v>88</v>
      </c>
      <c r="F40" s="233" t="s">
        <v>88</v>
      </c>
      <c r="G40" s="60"/>
      <c r="H40" s="242" t="s">
        <v>88</v>
      </c>
      <c r="I40" s="242" t="s">
        <v>89</v>
      </c>
      <c r="J40" s="243"/>
      <c r="K40" s="244"/>
      <c r="L40" s="146"/>
      <c r="M40" s="146"/>
      <c r="N40" s="146"/>
      <c r="O40" s="146"/>
      <c r="P40" s="146" t="s">
        <v>7</v>
      </c>
      <c r="Q40" s="64"/>
    </row>
    <row r="41" spans="5:16" ht="20.25" customHeight="1" thickBot="1">
      <c r="E41" s="234"/>
      <c r="F41" s="212"/>
      <c r="H41" s="245"/>
      <c r="I41" s="246"/>
      <c r="J41" s="247"/>
      <c r="K41" s="248" t="b">
        <f>IF(K40="U","9,00%",IF(K40="B","7,50%",IF(K40="P","6,25%")))</f>
        <v>0</v>
      </c>
      <c r="L41" s="143"/>
      <c r="P41" s="360"/>
    </row>
    <row r="42" spans="5:17" ht="27" thickBot="1">
      <c r="E42" s="235">
        <f>+H25</f>
        <v>0</v>
      </c>
      <c r="F42" s="236">
        <f>+I25</f>
        <v>0</v>
      </c>
      <c r="G42" s="69"/>
      <c r="H42" s="306">
        <f>+F42+(E42*0.6)</f>
        <v>0</v>
      </c>
      <c r="I42" s="361" t="e">
        <f>+L34</f>
        <v>#DIV/0!</v>
      </c>
      <c r="J42" s="362">
        <v>1</v>
      </c>
      <c r="K42" s="363" t="e">
        <f>IF(I42&lt;501,"5",IF(I42&lt;1001,"6",IF(I42&lt;1501,"7",IF(I42&lt;2001,"8",IF(I42&lt;2501,"9",IF(I42&lt;3001,"10",IF(I42&lt;3501,"11",IF(I42&lt;4001,"12"))))))))</f>
        <v>#DIV/0!</v>
      </c>
      <c r="L42" s="587" t="str">
        <f>IF(L40="x","35",IF(M40="x","40",IF(N40="x","35",IF(O40="x","35",IF(P40="x","0",)))))</f>
        <v>0</v>
      </c>
      <c r="M42" s="588"/>
      <c r="N42" s="588"/>
      <c r="O42" s="588"/>
      <c r="P42" s="589"/>
      <c r="Q42" s="254" t="e">
        <f>+J42*(K42)*I42*H42/100*((100-L42)/100)</f>
        <v>#DIV/0!</v>
      </c>
    </row>
    <row r="43" ht="31.5" customHeight="1"/>
    <row r="44" spans="1:4" ht="27.75" customHeight="1">
      <c r="A44" s="591" t="s">
        <v>30</v>
      </c>
      <c r="B44" s="591"/>
      <c r="C44" s="591"/>
      <c r="D44" s="591"/>
    </row>
    <row r="45" spans="1:4" ht="20.25" customHeight="1" thickBot="1">
      <c r="A45" s="234"/>
      <c r="B45" s="234"/>
      <c r="C45" s="255"/>
      <c r="D45" s="255"/>
    </row>
    <row r="46" spans="1:4" ht="32.25" customHeight="1" thickBot="1">
      <c r="A46" s="256" t="s">
        <v>31</v>
      </c>
      <c r="B46" s="256" t="s">
        <v>32</v>
      </c>
      <c r="C46" s="256" t="s">
        <v>34</v>
      </c>
      <c r="D46" s="257" t="s">
        <v>204</v>
      </c>
    </row>
    <row r="47" spans="1:4" ht="15.75" customHeight="1">
      <c r="A47" s="258"/>
      <c r="B47" s="258"/>
      <c r="C47" s="512">
        <v>1400</v>
      </c>
      <c r="D47" s="260" t="s">
        <v>205</v>
      </c>
    </row>
    <row r="48" spans="1:4" ht="15.75" customHeight="1">
      <c r="A48" s="258"/>
      <c r="B48" s="258"/>
      <c r="C48" s="512">
        <v>1400</v>
      </c>
      <c r="D48" s="260" t="s">
        <v>35</v>
      </c>
    </row>
    <row r="49" spans="1:4" ht="15.75" customHeight="1">
      <c r="A49" s="258"/>
      <c r="B49" s="258"/>
      <c r="C49" s="512">
        <v>1400</v>
      </c>
      <c r="D49" s="260" t="s">
        <v>37</v>
      </c>
    </row>
    <row r="50" spans="1:15" ht="15.75" customHeight="1">
      <c r="A50" s="258"/>
      <c r="B50" s="258"/>
      <c r="C50" s="513">
        <v>1750</v>
      </c>
      <c r="D50" s="262" t="s">
        <v>206</v>
      </c>
      <c r="M50" s="72"/>
      <c r="N50" s="72"/>
      <c r="O50" s="72"/>
    </row>
    <row r="51" spans="1:15" ht="15.75" customHeight="1">
      <c r="A51" s="258"/>
      <c r="B51" s="258"/>
      <c r="C51" s="513">
        <v>1400</v>
      </c>
      <c r="D51" s="262" t="s">
        <v>207</v>
      </c>
      <c r="M51" s="72"/>
      <c r="N51" s="72"/>
      <c r="O51" s="72"/>
    </row>
    <row r="52" spans="1:15" ht="15.75" customHeight="1">
      <c r="A52" s="258"/>
      <c r="B52" s="258"/>
      <c r="C52" s="513">
        <v>1400</v>
      </c>
      <c r="D52" s="262" t="s">
        <v>208</v>
      </c>
      <c r="M52" s="72"/>
      <c r="N52" s="72"/>
      <c r="O52" s="72"/>
    </row>
    <row r="53" spans="1:15" ht="15.75" customHeight="1">
      <c r="A53" s="258"/>
      <c r="B53" s="258"/>
      <c r="C53" s="513">
        <v>1400</v>
      </c>
      <c r="D53" s="262" t="s">
        <v>209</v>
      </c>
      <c r="M53" s="72"/>
      <c r="N53" s="72"/>
      <c r="O53" s="72"/>
    </row>
    <row r="54" spans="1:15" ht="15.75" customHeight="1">
      <c r="A54" s="258"/>
      <c r="B54" s="258"/>
      <c r="C54" s="513">
        <v>1092.5</v>
      </c>
      <c r="D54" s="262" t="s">
        <v>210</v>
      </c>
      <c r="M54" s="72"/>
      <c r="N54" s="72"/>
      <c r="O54" s="72"/>
    </row>
    <row r="55" spans="1:15" ht="15.75" customHeight="1">
      <c r="A55" s="258"/>
      <c r="B55" s="258"/>
      <c r="C55" s="513">
        <v>1092.5</v>
      </c>
      <c r="D55" s="262" t="s">
        <v>38</v>
      </c>
      <c r="M55" s="72"/>
      <c r="N55" s="72"/>
      <c r="O55" s="72"/>
    </row>
    <row r="56" spans="1:15" ht="15.75" customHeight="1">
      <c r="A56" s="258"/>
      <c r="B56" s="258"/>
      <c r="C56" s="513">
        <v>1080.63</v>
      </c>
      <c r="D56" s="262" t="s">
        <v>39</v>
      </c>
      <c r="M56" s="72"/>
      <c r="N56" s="72"/>
      <c r="O56" s="72"/>
    </row>
    <row r="57" spans="1:15" ht="15.75" customHeight="1">
      <c r="A57" s="258"/>
      <c r="B57" s="258"/>
      <c r="C57" s="513">
        <v>1050</v>
      </c>
      <c r="D57" s="262" t="s">
        <v>40</v>
      </c>
      <c r="M57" s="72"/>
      <c r="N57" s="72"/>
      <c r="O57" s="72"/>
    </row>
    <row r="58" spans="1:4" ht="15.75" customHeight="1">
      <c r="A58" s="258"/>
      <c r="B58" s="258"/>
      <c r="C58" s="513">
        <v>1050</v>
      </c>
      <c r="D58" s="262" t="s">
        <v>211</v>
      </c>
    </row>
    <row r="59" spans="1:4" ht="15.75" customHeight="1">
      <c r="A59" s="258"/>
      <c r="B59" s="258"/>
      <c r="C59" s="513">
        <v>1050</v>
      </c>
      <c r="D59" s="262" t="s">
        <v>212</v>
      </c>
    </row>
    <row r="60" spans="1:4" ht="15.75" customHeight="1">
      <c r="A60" s="258"/>
      <c r="B60" s="258"/>
      <c r="C60" s="513">
        <v>1400</v>
      </c>
      <c r="D60" s="262" t="s">
        <v>213</v>
      </c>
    </row>
    <row r="61" spans="1:4" ht="15.75" customHeight="1">
      <c r="A61" s="258"/>
      <c r="B61" s="258"/>
      <c r="C61" s="513">
        <v>1104.38</v>
      </c>
      <c r="D61" s="262" t="s">
        <v>214</v>
      </c>
    </row>
    <row r="62" spans="1:4" ht="15.75" customHeight="1">
      <c r="A62" s="258"/>
      <c r="B62" s="258"/>
      <c r="C62" s="513">
        <v>1068.75</v>
      </c>
      <c r="D62" s="262" t="s">
        <v>215</v>
      </c>
    </row>
    <row r="63" spans="1:4" ht="15.75" customHeight="1">
      <c r="A63" s="258"/>
      <c r="B63" s="258"/>
      <c r="C63" s="513">
        <v>1116.25</v>
      </c>
      <c r="D63" s="262" t="s">
        <v>216</v>
      </c>
    </row>
    <row r="64" spans="1:4" ht="15.75" customHeight="1">
      <c r="A64" s="258"/>
      <c r="B64" s="258"/>
      <c r="C64" s="513">
        <v>1400</v>
      </c>
      <c r="D64" s="262" t="s">
        <v>217</v>
      </c>
    </row>
    <row r="65" spans="1:4" ht="15.75" customHeight="1">
      <c r="A65" s="258"/>
      <c r="B65" s="258"/>
      <c r="C65" s="513">
        <v>1400</v>
      </c>
      <c r="D65" s="262" t="s">
        <v>218</v>
      </c>
    </row>
    <row r="66" spans="1:4" ht="15.75" customHeight="1">
      <c r="A66" s="258"/>
      <c r="B66" s="258"/>
      <c r="C66" s="513">
        <v>1050</v>
      </c>
      <c r="D66" s="262" t="s">
        <v>219</v>
      </c>
    </row>
    <row r="67" spans="1:4" ht="15.75" customHeight="1">
      <c r="A67" s="258"/>
      <c r="B67" s="258"/>
      <c r="C67" s="513">
        <v>1050</v>
      </c>
      <c r="D67" s="262" t="s">
        <v>42</v>
      </c>
    </row>
    <row r="68" spans="1:4" ht="15.75" customHeight="1">
      <c r="A68" s="258"/>
      <c r="B68" s="258"/>
      <c r="C68" s="513">
        <v>1050</v>
      </c>
      <c r="D68" s="262" t="s">
        <v>220</v>
      </c>
    </row>
    <row r="69" spans="1:4" ht="15.75" customHeight="1" thickBot="1">
      <c r="A69" s="258"/>
      <c r="B69" s="258"/>
      <c r="C69" s="513">
        <v>1050</v>
      </c>
      <c r="D69" s="262" t="s">
        <v>221</v>
      </c>
    </row>
    <row r="70" spans="1:4" ht="30.75" customHeight="1" thickBot="1">
      <c r="A70" s="263" t="s">
        <v>43</v>
      </c>
      <c r="B70" s="263" t="s">
        <v>44</v>
      </c>
      <c r="C70" s="264" t="s">
        <v>34</v>
      </c>
      <c r="D70" s="263" t="s">
        <v>204</v>
      </c>
    </row>
    <row r="71" spans="1:4" ht="15.75" customHeight="1">
      <c r="A71" s="265"/>
      <c r="B71" s="265"/>
      <c r="C71" s="514">
        <v>1400</v>
      </c>
      <c r="D71" s="267" t="s">
        <v>205</v>
      </c>
    </row>
    <row r="72" spans="1:4" ht="15.75" customHeight="1">
      <c r="A72" s="265"/>
      <c r="B72" s="265"/>
      <c r="C72" s="514">
        <v>1400</v>
      </c>
      <c r="D72" s="268" t="s">
        <v>35</v>
      </c>
    </row>
    <row r="73" spans="1:4" ht="15.75" customHeight="1">
      <c r="A73" s="265"/>
      <c r="B73" s="265"/>
      <c r="C73" s="514">
        <v>1400</v>
      </c>
      <c r="D73" s="269" t="s">
        <v>37</v>
      </c>
    </row>
    <row r="74" spans="1:4" ht="15.75" customHeight="1">
      <c r="A74" s="265"/>
      <c r="B74" s="265"/>
      <c r="C74" s="514">
        <v>1750</v>
      </c>
      <c r="D74" s="269" t="s">
        <v>206</v>
      </c>
    </row>
    <row r="75" spans="1:4" ht="15.75" customHeight="1">
      <c r="A75" s="265"/>
      <c r="B75" s="265"/>
      <c r="C75" s="514">
        <v>1400</v>
      </c>
      <c r="D75" s="269" t="s">
        <v>207</v>
      </c>
    </row>
    <row r="76" spans="1:4" ht="15.75" customHeight="1">
      <c r="A76" s="265"/>
      <c r="B76" s="265"/>
      <c r="C76" s="514">
        <v>1400</v>
      </c>
      <c r="D76" s="269" t="s">
        <v>208</v>
      </c>
    </row>
    <row r="77" spans="1:4" ht="15.75" customHeight="1">
      <c r="A77" s="265"/>
      <c r="B77" s="265"/>
      <c r="C77" s="514">
        <v>1400</v>
      </c>
      <c r="D77" s="269" t="s">
        <v>209</v>
      </c>
    </row>
    <row r="78" spans="1:4" ht="15.75" customHeight="1">
      <c r="A78" s="265"/>
      <c r="B78" s="265"/>
      <c r="C78" s="514">
        <v>1068.75</v>
      </c>
      <c r="D78" s="269" t="s">
        <v>210</v>
      </c>
    </row>
    <row r="79" spans="1:4" ht="15.75" customHeight="1">
      <c r="A79" s="265"/>
      <c r="B79" s="265"/>
      <c r="C79" s="514">
        <v>1050</v>
      </c>
      <c r="D79" s="269" t="s">
        <v>38</v>
      </c>
    </row>
    <row r="80" spans="1:4" ht="15.75" customHeight="1">
      <c r="A80" s="265"/>
      <c r="B80" s="265"/>
      <c r="C80" s="514">
        <v>1068.75</v>
      </c>
      <c r="D80" s="269" t="s">
        <v>39</v>
      </c>
    </row>
    <row r="81" spans="1:4" ht="15.75" customHeight="1">
      <c r="A81" s="265"/>
      <c r="B81" s="265"/>
      <c r="C81" s="514">
        <v>1050</v>
      </c>
      <c r="D81" s="269" t="s">
        <v>40</v>
      </c>
    </row>
    <row r="82" spans="1:4" ht="15.75" customHeight="1">
      <c r="A82" s="265"/>
      <c r="B82" s="265"/>
      <c r="C82" s="514">
        <v>1050</v>
      </c>
      <c r="D82" s="269" t="s">
        <v>211</v>
      </c>
    </row>
    <row r="83" spans="1:4" ht="15.75" customHeight="1">
      <c r="A83" s="265"/>
      <c r="B83" s="265"/>
      <c r="C83" s="514">
        <v>1050</v>
      </c>
      <c r="D83" s="269" t="s">
        <v>212</v>
      </c>
    </row>
    <row r="84" spans="1:4" ht="15.75" customHeight="1">
      <c r="A84" s="265"/>
      <c r="B84" s="265"/>
      <c r="C84" s="514">
        <v>0</v>
      </c>
      <c r="D84" s="269" t="s">
        <v>213</v>
      </c>
    </row>
    <row r="85" spans="1:4" ht="15.75" customHeight="1">
      <c r="A85" s="265"/>
      <c r="B85" s="265"/>
      <c r="C85" s="514">
        <v>1050</v>
      </c>
      <c r="D85" s="269" t="s">
        <v>214</v>
      </c>
    </row>
    <row r="86" spans="1:4" ht="15.75" customHeight="1">
      <c r="A86" s="265"/>
      <c r="B86" s="265"/>
      <c r="C86" s="514">
        <v>1050</v>
      </c>
      <c r="D86" s="269" t="s">
        <v>215</v>
      </c>
    </row>
    <row r="87" spans="1:4" ht="15.75" customHeight="1">
      <c r="A87" s="265"/>
      <c r="B87" s="265"/>
      <c r="C87" s="514">
        <v>1050</v>
      </c>
      <c r="D87" s="269" t="s">
        <v>216</v>
      </c>
    </row>
    <row r="88" spans="1:4" ht="15.75" customHeight="1">
      <c r="A88" s="265"/>
      <c r="B88" s="265"/>
      <c r="C88" s="514">
        <v>1104.38</v>
      </c>
      <c r="D88" s="269" t="s">
        <v>217</v>
      </c>
    </row>
    <row r="89" spans="1:4" ht="15.75" customHeight="1">
      <c r="A89" s="265"/>
      <c r="B89" s="265"/>
      <c r="C89" s="514">
        <v>1116.25</v>
      </c>
      <c r="D89" s="269" t="s">
        <v>218</v>
      </c>
    </row>
    <row r="90" spans="1:4" ht="15.75" customHeight="1">
      <c r="A90" s="265"/>
      <c r="B90" s="265"/>
      <c r="C90" s="514">
        <v>979.69</v>
      </c>
      <c r="D90" s="269" t="s">
        <v>219</v>
      </c>
    </row>
    <row r="91" spans="1:4" ht="15.75" customHeight="1">
      <c r="A91" s="265"/>
      <c r="B91" s="265"/>
      <c r="C91" s="514">
        <v>979.69</v>
      </c>
      <c r="D91" s="269" t="s">
        <v>42</v>
      </c>
    </row>
    <row r="92" spans="1:4" ht="15.75" customHeight="1">
      <c r="A92" s="265"/>
      <c r="B92" s="265"/>
      <c r="C92" s="514">
        <v>979.69</v>
      </c>
      <c r="D92" s="269" t="s">
        <v>220</v>
      </c>
    </row>
    <row r="93" spans="1:4" ht="15.75" customHeight="1" thickBot="1">
      <c r="A93" s="265"/>
      <c r="B93" s="265"/>
      <c r="C93" s="514">
        <v>976.69</v>
      </c>
      <c r="D93" s="269" t="s">
        <v>221</v>
      </c>
    </row>
    <row r="94" spans="1:4" ht="39" thickBot="1">
      <c r="A94" s="270" t="s">
        <v>45</v>
      </c>
      <c r="B94" s="270" t="s">
        <v>46</v>
      </c>
      <c r="C94" s="270" t="s">
        <v>34</v>
      </c>
      <c r="D94" s="270" t="s">
        <v>204</v>
      </c>
    </row>
    <row r="95" spans="1:4" ht="15.75" customHeight="1">
      <c r="A95" s="271"/>
      <c r="B95" s="271"/>
      <c r="C95" s="515">
        <v>1400</v>
      </c>
      <c r="D95" s="273" t="s">
        <v>205</v>
      </c>
    </row>
    <row r="96" spans="1:4" ht="15.75" customHeight="1">
      <c r="A96" s="271"/>
      <c r="B96" s="271"/>
      <c r="C96" s="515">
        <v>1400</v>
      </c>
      <c r="D96" s="273" t="s">
        <v>35</v>
      </c>
    </row>
    <row r="97" spans="1:4" ht="15.75" customHeight="1">
      <c r="A97" s="271"/>
      <c r="B97" s="271"/>
      <c r="C97" s="515">
        <v>1400</v>
      </c>
      <c r="D97" s="274" t="s">
        <v>37</v>
      </c>
    </row>
    <row r="98" spans="1:4" ht="15.75" customHeight="1">
      <c r="A98" s="271"/>
      <c r="B98" s="271"/>
      <c r="C98" s="516">
        <v>1750</v>
      </c>
      <c r="D98" s="274" t="s">
        <v>206</v>
      </c>
    </row>
    <row r="99" spans="1:4" ht="15.75" customHeight="1">
      <c r="A99" s="271"/>
      <c r="B99" s="271"/>
      <c r="C99" s="516">
        <v>1400</v>
      </c>
      <c r="D99" s="274" t="s">
        <v>207</v>
      </c>
    </row>
    <row r="100" spans="1:4" ht="15.75" customHeight="1">
      <c r="A100" s="271"/>
      <c r="B100" s="271"/>
      <c r="C100" s="516">
        <v>1400</v>
      </c>
      <c r="D100" s="274" t="s">
        <v>208</v>
      </c>
    </row>
    <row r="101" spans="1:4" ht="15.75" customHeight="1">
      <c r="A101" s="271"/>
      <c r="B101" s="271"/>
      <c r="C101" s="516">
        <v>1400</v>
      </c>
      <c r="D101" s="274" t="s">
        <v>209</v>
      </c>
    </row>
    <row r="102" spans="1:4" ht="15.75" customHeight="1">
      <c r="A102" s="271"/>
      <c r="B102" s="271"/>
      <c r="C102" s="516">
        <v>1116.25</v>
      </c>
      <c r="D102" s="274" t="s">
        <v>210</v>
      </c>
    </row>
    <row r="103" spans="1:4" ht="15.75" customHeight="1">
      <c r="A103" s="271"/>
      <c r="B103" s="271"/>
      <c r="C103" s="516">
        <v>1400</v>
      </c>
      <c r="D103" s="274" t="s">
        <v>38</v>
      </c>
    </row>
    <row r="104" spans="1:4" ht="15.75" customHeight="1">
      <c r="A104" s="271"/>
      <c r="B104" s="271"/>
      <c r="C104" s="516">
        <v>1400</v>
      </c>
      <c r="D104" s="274" t="s">
        <v>39</v>
      </c>
    </row>
    <row r="105" spans="1:4" ht="15.75" customHeight="1">
      <c r="A105" s="271"/>
      <c r="B105" s="271"/>
      <c r="C105" s="516">
        <v>1050</v>
      </c>
      <c r="D105" s="274" t="s">
        <v>40</v>
      </c>
    </row>
    <row r="106" spans="1:4" ht="15.75" customHeight="1">
      <c r="A106" s="271"/>
      <c r="B106" s="271"/>
      <c r="C106" s="516">
        <v>1056.88</v>
      </c>
      <c r="D106" s="274" t="s">
        <v>211</v>
      </c>
    </row>
    <row r="107" spans="1:4" ht="15.75" customHeight="1">
      <c r="A107" s="271"/>
      <c r="B107" s="271"/>
      <c r="C107" s="516">
        <v>1068.75</v>
      </c>
      <c r="D107" s="274" t="s">
        <v>212</v>
      </c>
    </row>
    <row r="108" spans="1:4" ht="15.75" customHeight="1">
      <c r="A108" s="271"/>
      <c r="B108" s="271"/>
      <c r="C108" s="516">
        <v>1400</v>
      </c>
      <c r="D108" s="274" t="s">
        <v>213</v>
      </c>
    </row>
    <row r="109" spans="1:4" ht="15.75" customHeight="1">
      <c r="A109" s="271"/>
      <c r="B109" s="271"/>
      <c r="C109" s="516">
        <v>1400</v>
      </c>
      <c r="D109" s="274" t="s">
        <v>214</v>
      </c>
    </row>
    <row r="110" spans="1:4" ht="15.75" customHeight="1">
      <c r="A110" s="271"/>
      <c r="B110" s="271"/>
      <c r="C110" s="516">
        <v>1068.75</v>
      </c>
      <c r="D110" s="274" t="s">
        <v>215</v>
      </c>
    </row>
    <row r="111" spans="1:4" ht="15.75" customHeight="1">
      <c r="A111" s="271"/>
      <c r="B111" s="271"/>
      <c r="C111" s="516">
        <v>1400</v>
      </c>
      <c r="D111" s="274" t="s">
        <v>216</v>
      </c>
    </row>
    <row r="112" spans="1:4" ht="15.75" customHeight="1">
      <c r="A112" s="271"/>
      <c r="B112" s="271"/>
      <c r="C112" s="516">
        <v>1400</v>
      </c>
      <c r="D112" s="274" t="s">
        <v>217</v>
      </c>
    </row>
    <row r="113" spans="1:4" ht="15.75" customHeight="1">
      <c r="A113" s="271"/>
      <c r="B113" s="271"/>
      <c r="C113" s="516">
        <v>1400</v>
      </c>
      <c r="D113" s="274" t="s">
        <v>218</v>
      </c>
    </row>
    <row r="114" spans="1:4" ht="15.75" customHeight="1">
      <c r="A114" s="271"/>
      <c r="B114" s="271"/>
      <c r="C114" s="516">
        <v>1050</v>
      </c>
      <c r="D114" s="274" t="s">
        <v>219</v>
      </c>
    </row>
    <row r="115" spans="1:4" ht="15.75" customHeight="1">
      <c r="A115" s="271"/>
      <c r="B115" s="271"/>
      <c r="C115" s="516">
        <v>1050</v>
      </c>
      <c r="D115" s="274" t="s">
        <v>42</v>
      </c>
    </row>
    <row r="116" spans="1:4" ht="15.75" customHeight="1">
      <c r="A116" s="271"/>
      <c r="B116" s="271"/>
      <c r="C116" s="516">
        <v>1050</v>
      </c>
      <c r="D116" s="274" t="s">
        <v>220</v>
      </c>
    </row>
    <row r="117" spans="1:4" ht="15.75" customHeight="1" thickBot="1">
      <c r="A117" s="271"/>
      <c r="B117" s="271"/>
      <c r="C117" s="516">
        <v>1050</v>
      </c>
      <c r="D117" s="274" t="s">
        <v>221</v>
      </c>
    </row>
    <row r="118" spans="1:4" ht="29.25" customHeight="1" thickBot="1">
      <c r="A118" s="276" t="s">
        <v>231</v>
      </c>
      <c r="B118" s="276" t="s">
        <v>232</v>
      </c>
      <c r="C118" s="276" t="s">
        <v>34</v>
      </c>
      <c r="D118" s="276" t="s">
        <v>204</v>
      </c>
    </row>
    <row r="119" spans="1:4" ht="15.75" customHeight="1">
      <c r="A119" s="277"/>
      <c r="B119" s="277"/>
      <c r="C119" s="517">
        <v>920.31</v>
      </c>
      <c r="D119" s="279" t="s">
        <v>205</v>
      </c>
    </row>
    <row r="120" spans="1:4" ht="15.75" customHeight="1">
      <c r="A120" s="277"/>
      <c r="B120" s="277"/>
      <c r="C120" s="517">
        <v>831.25</v>
      </c>
      <c r="D120" s="279" t="s">
        <v>35</v>
      </c>
    </row>
    <row r="121" spans="1:4" ht="15.75" customHeight="1">
      <c r="A121" s="277"/>
      <c r="B121" s="277"/>
      <c r="C121" s="517">
        <v>801.56</v>
      </c>
      <c r="D121" s="280" t="s">
        <v>37</v>
      </c>
    </row>
    <row r="122" spans="1:4" ht="15.75" customHeight="1">
      <c r="A122" s="277"/>
      <c r="B122" s="277"/>
      <c r="C122" s="518">
        <v>920.31</v>
      </c>
      <c r="D122" s="280" t="s">
        <v>206</v>
      </c>
    </row>
    <row r="123" spans="1:4" ht="15.75" customHeight="1">
      <c r="A123" s="277"/>
      <c r="B123" s="277"/>
      <c r="C123" s="518">
        <v>727.34</v>
      </c>
      <c r="D123" s="280" t="s">
        <v>207</v>
      </c>
    </row>
    <row r="124" spans="1:4" ht="15.75" customHeight="1">
      <c r="A124" s="277"/>
      <c r="B124" s="277"/>
      <c r="C124" s="518">
        <v>801.56</v>
      </c>
      <c r="D124" s="280" t="s">
        <v>208</v>
      </c>
    </row>
    <row r="125" spans="1:4" ht="15.75" customHeight="1">
      <c r="A125" s="277"/>
      <c r="B125" s="277"/>
      <c r="C125" s="518">
        <v>742.19</v>
      </c>
      <c r="D125" s="280" t="s">
        <v>209</v>
      </c>
    </row>
    <row r="126" spans="1:4" ht="15.75" customHeight="1">
      <c r="A126" s="277"/>
      <c r="B126" s="277"/>
      <c r="C126" s="518">
        <v>742.19</v>
      </c>
      <c r="D126" s="280" t="s">
        <v>210</v>
      </c>
    </row>
    <row r="127" spans="1:4" ht="15.75" customHeight="1">
      <c r="A127" s="277"/>
      <c r="B127" s="277"/>
      <c r="C127" s="518">
        <v>653.13</v>
      </c>
      <c r="D127" s="280" t="s">
        <v>38</v>
      </c>
    </row>
    <row r="128" spans="1:4" ht="15.75" customHeight="1">
      <c r="A128" s="277"/>
      <c r="B128" s="277"/>
      <c r="C128" s="518">
        <v>742.19</v>
      </c>
      <c r="D128" s="280" t="s">
        <v>39</v>
      </c>
    </row>
    <row r="129" spans="1:4" ht="15.75" customHeight="1">
      <c r="A129" s="277"/>
      <c r="B129" s="277"/>
      <c r="C129" s="518">
        <v>475</v>
      </c>
      <c r="D129" s="280" t="s">
        <v>40</v>
      </c>
    </row>
    <row r="130" spans="1:4" ht="15.75" customHeight="1">
      <c r="A130" s="277"/>
      <c r="B130" s="277"/>
      <c r="C130" s="518">
        <v>504.69</v>
      </c>
      <c r="D130" s="280" t="s">
        <v>211</v>
      </c>
    </row>
    <row r="131" spans="1:4" ht="15.75" customHeight="1">
      <c r="A131" s="277"/>
      <c r="B131" s="277"/>
      <c r="C131" s="518">
        <v>519.53</v>
      </c>
      <c r="D131" s="280" t="s">
        <v>212</v>
      </c>
    </row>
    <row r="132" spans="1:4" ht="15.75" customHeight="1">
      <c r="A132" s="277"/>
      <c r="B132" s="277"/>
      <c r="C132" s="518">
        <v>742.19</v>
      </c>
      <c r="D132" s="280" t="s">
        <v>213</v>
      </c>
    </row>
    <row r="133" spans="1:4" ht="15.75" customHeight="1">
      <c r="A133" s="277"/>
      <c r="B133" s="277"/>
      <c r="C133" s="518">
        <v>504.69</v>
      </c>
      <c r="D133" s="280" t="s">
        <v>214</v>
      </c>
    </row>
    <row r="134" spans="1:4" ht="15.75" customHeight="1">
      <c r="A134" s="277"/>
      <c r="B134" s="277"/>
      <c r="C134" s="518">
        <v>475</v>
      </c>
      <c r="D134" s="280" t="s">
        <v>215</v>
      </c>
    </row>
    <row r="135" spans="1:4" ht="15.75" customHeight="1">
      <c r="A135" s="277"/>
      <c r="B135" s="277"/>
      <c r="C135" s="518">
        <v>653.13</v>
      </c>
      <c r="D135" s="280" t="s">
        <v>216</v>
      </c>
    </row>
    <row r="136" spans="1:4" ht="15.75" customHeight="1">
      <c r="A136" s="277"/>
      <c r="B136" s="277"/>
      <c r="C136" s="518">
        <v>682.81</v>
      </c>
      <c r="D136" s="280" t="s">
        <v>217</v>
      </c>
    </row>
    <row r="137" spans="1:4" ht="15.75" customHeight="1">
      <c r="A137" s="277"/>
      <c r="B137" s="277"/>
      <c r="C137" s="518">
        <v>742.19</v>
      </c>
      <c r="D137" s="280" t="s">
        <v>218</v>
      </c>
    </row>
    <row r="138" spans="1:4" ht="15.75" customHeight="1">
      <c r="A138" s="277"/>
      <c r="B138" s="277"/>
      <c r="C138" s="518">
        <v>415.63</v>
      </c>
      <c r="D138" s="280" t="s">
        <v>219</v>
      </c>
    </row>
    <row r="139" spans="1:4" ht="15.75" customHeight="1">
      <c r="A139" s="277"/>
      <c r="B139" s="277"/>
      <c r="C139" s="518">
        <v>415.63</v>
      </c>
      <c r="D139" s="280" t="s">
        <v>42</v>
      </c>
    </row>
    <row r="140" spans="1:4" ht="15.75" customHeight="1">
      <c r="A140" s="277"/>
      <c r="B140" s="277"/>
      <c r="C140" s="518">
        <v>415.63</v>
      </c>
      <c r="D140" s="280" t="s">
        <v>220</v>
      </c>
    </row>
    <row r="141" spans="1:4" ht="15.75" customHeight="1" thickBot="1">
      <c r="A141" s="282"/>
      <c r="B141" s="282"/>
      <c r="C141" s="519">
        <v>415.63</v>
      </c>
      <c r="D141" s="284" t="s">
        <v>221</v>
      </c>
    </row>
    <row r="147" spans="1:8" ht="30.75" customHeight="1">
      <c r="A147" s="590" t="s">
        <v>333</v>
      </c>
      <c r="B147" s="590"/>
      <c r="C147" s="590"/>
      <c r="D147" s="475"/>
      <c r="E147" s="475"/>
      <c r="F147" s="475"/>
      <c r="G147" s="475"/>
      <c r="H147" s="475"/>
    </row>
    <row r="148" spans="1:8" ht="12.75">
      <c r="A148" s="496"/>
      <c r="B148" s="496"/>
      <c r="C148" s="496"/>
      <c r="D148" s="496"/>
      <c r="E148" s="496"/>
      <c r="F148" s="496"/>
      <c r="G148" s="496"/>
      <c r="H148" s="491"/>
    </row>
    <row r="149" spans="1:8" ht="12.75">
      <c r="A149" s="496"/>
      <c r="B149" s="496"/>
      <c r="C149" s="496"/>
      <c r="D149" s="496"/>
      <c r="E149" s="496"/>
      <c r="F149" s="496"/>
      <c r="G149" s="496"/>
      <c r="H149" s="495"/>
    </row>
    <row r="150" spans="1:8" ht="12.75">
      <c r="A150" s="496"/>
      <c r="B150" s="496"/>
      <c r="C150" s="496"/>
      <c r="D150" s="496"/>
      <c r="E150" s="496"/>
      <c r="F150" s="496"/>
      <c r="G150" s="496"/>
      <c r="H150" s="495"/>
    </row>
    <row r="151" spans="1:8" ht="12.75">
      <c r="A151" s="496"/>
      <c r="B151" s="496"/>
      <c r="C151" s="496"/>
      <c r="D151" s="496"/>
      <c r="E151" s="496"/>
      <c r="F151" s="496"/>
      <c r="G151" s="496"/>
      <c r="H151" s="495"/>
    </row>
    <row r="152" spans="1:8" ht="12.75">
      <c r="A152" s="496"/>
      <c r="B152" s="496"/>
      <c r="C152" s="496"/>
      <c r="D152" s="496"/>
      <c r="E152" s="496"/>
      <c r="F152" s="496"/>
      <c r="G152" s="496"/>
      <c r="H152" s="495"/>
    </row>
    <row r="153" spans="1:8" ht="12.75">
      <c r="A153" s="496"/>
      <c r="B153" s="496"/>
      <c r="C153" s="496"/>
      <c r="D153" s="496"/>
      <c r="E153" s="496"/>
      <c r="F153" s="496"/>
      <c r="G153" s="496"/>
      <c r="H153" s="495"/>
    </row>
    <row r="154" spans="1:8" ht="12.75">
      <c r="A154" s="496"/>
      <c r="B154" s="496"/>
      <c r="C154" s="496"/>
      <c r="D154" s="496"/>
      <c r="E154" s="496"/>
      <c r="F154" s="496"/>
      <c r="G154" s="496"/>
      <c r="H154" s="495"/>
    </row>
    <row r="155" spans="1:8" ht="12.75">
      <c r="A155" s="496"/>
      <c r="B155" s="496"/>
      <c r="C155" s="496"/>
      <c r="D155" s="496"/>
      <c r="E155" s="496"/>
      <c r="F155" s="496"/>
      <c r="G155" s="496"/>
      <c r="H155" s="495"/>
    </row>
    <row r="156" spans="1:9" ht="15">
      <c r="A156" s="496"/>
      <c r="B156" s="496"/>
      <c r="C156" s="496"/>
      <c r="D156" s="496"/>
      <c r="E156" s="496"/>
      <c r="F156" s="496"/>
      <c r="G156" s="496"/>
      <c r="H156" s="500">
        <f>SUM(A148:G148)+(SUM(A149:G149)+SUM(A150:G150))+SUM(A151:G151)+SUM(A152:G152)+SUM(A153:G153)+SUM(A154:G154)+SUM(A155:G155)+SUM(A156:G156)</f>
        <v>0</v>
      </c>
      <c r="I156" s="4"/>
    </row>
    <row r="157" spans="8:9" ht="15">
      <c r="H157" s="4"/>
      <c r="I157" s="4"/>
    </row>
    <row r="158" spans="8:9" ht="15">
      <c r="H158" s="4"/>
      <c r="I158" s="4"/>
    </row>
    <row r="159" spans="1:9" ht="22.5" customHeight="1">
      <c r="A159" s="472" t="s">
        <v>304</v>
      </c>
      <c r="B159" s="472"/>
      <c r="C159" s="472"/>
      <c r="D159" s="475"/>
      <c r="E159" s="475"/>
      <c r="F159" s="475"/>
      <c r="G159" s="475"/>
      <c r="H159" s="501"/>
      <c r="I159" s="502"/>
    </row>
    <row r="160" spans="1:9" ht="16.5" customHeight="1">
      <c r="A160" s="470" t="s">
        <v>305</v>
      </c>
      <c r="B160" s="471"/>
      <c r="C160" s="471"/>
      <c r="D160" s="471"/>
      <c r="E160" s="471"/>
      <c r="F160" s="471"/>
      <c r="G160" s="612"/>
      <c r="H160" s="501"/>
      <c r="I160" s="502"/>
    </row>
    <row r="161" spans="1:9" ht="15.75">
      <c r="A161" s="496"/>
      <c r="B161" s="496"/>
      <c r="C161" s="496"/>
      <c r="D161" s="496"/>
      <c r="E161" s="496"/>
      <c r="F161" s="496"/>
      <c r="G161" s="496"/>
      <c r="H161" s="487"/>
      <c r="I161" s="502"/>
    </row>
    <row r="162" spans="1:9" ht="15.75">
      <c r="A162" s="496"/>
      <c r="B162" s="496"/>
      <c r="C162" s="496"/>
      <c r="D162" s="496"/>
      <c r="E162" s="496"/>
      <c r="F162" s="496"/>
      <c r="G162" s="496"/>
      <c r="H162" s="487"/>
      <c r="I162" s="502"/>
    </row>
    <row r="163" spans="1:9" ht="15.75">
      <c r="A163" s="496"/>
      <c r="B163" s="496"/>
      <c r="C163" s="496"/>
      <c r="D163" s="496"/>
      <c r="E163" s="496"/>
      <c r="F163" s="496"/>
      <c r="G163" s="496"/>
      <c r="H163" s="503">
        <f>SUM(A161:G161)+(SUM(A162:G162)+SUM(A163:G163))</f>
        <v>0</v>
      </c>
      <c r="I163" s="504" t="str">
        <f>IF(AND(H163&gt;0,H163&lt;=95),"A",IF(AND(H163&gt;95,H163&lt;=110),"B",IF(AND(H163&gt;110,H163&lt;=130),"C",IF(AND(H163&gt;130,H163&lt;=160),"D",IF(H163&gt;160,"E","ND")))))</f>
        <v>ND</v>
      </c>
    </row>
    <row r="164" spans="1:9" ht="15.75">
      <c r="A164" s="483"/>
      <c r="B164" s="483"/>
      <c r="C164" s="483"/>
      <c r="D164" s="483"/>
      <c r="E164" s="484"/>
      <c r="F164" s="484"/>
      <c r="G164" s="484"/>
      <c r="H164" s="487"/>
      <c r="I164" s="502"/>
    </row>
    <row r="165" spans="1:9" ht="16.5" customHeight="1">
      <c r="A165" s="470" t="s">
        <v>306</v>
      </c>
      <c r="B165" s="471"/>
      <c r="C165" s="471"/>
      <c r="D165" s="483"/>
      <c r="E165" s="484"/>
      <c r="F165" s="484"/>
      <c r="G165" s="484"/>
      <c r="H165" s="487"/>
      <c r="I165" s="502"/>
    </row>
    <row r="166" spans="1:9" ht="15.75">
      <c r="A166" s="496"/>
      <c r="B166" s="496"/>
      <c r="C166" s="496"/>
      <c r="D166" s="496"/>
      <c r="E166" s="496"/>
      <c r="F166" s="496"/>
      <c r="G166" s="496"/>
      <c r="H166" s="487"/>
      <c r="I166" s="502"/>
    </row>
    <row r="167" spans="1:9" ht="15.75">
      <c r="A167" s="496"/>
      <c r="B167" s="496"/>
      <c r="C167" s="496"/>
      <c r="D167" s="496"/>
      <c r="E167" s="496"/>
      <c r="F167" s="496"/>
      <c r="G167" s="496"/>
      <c r="H167" s="487"/>
      <c r="I167" s="502"/>
    </row>
    <row r="168" spans="1:9" ht="15.75">
      <c r="A168" s="496"/>
      <c r="B168" s="496"/>
      <c r="C168" s="496"/>
      <c r="D168" s="496"/>
      <c r="E168" s="496"/>
      <c r="F168" s="496"/>
      <c r="G168" s="496"/>
      <c r="H168" s="503">
        <f>SUM(A166:G166)+(SUM(A167:G167)+SUM(A168:G168))</f>
        <v>0</v>
      </c>
      <c r="I168" s="502"/>
    </row>
    <row r="169" spans="1:9" ht="15.75">
      <c r="A169" s="483"/>
      <c r="B169" s="483"/>
      <c r="C169" s="483"/>
      <c r="D169" s="483"/>
      <c r="E169" s="484"/>
      <c r="F169" s="484"/>
      <c r="G169" s="484"/>
      <c r="H169" s="487"/>
      <c r="I169" s="502"/>
    </row>
    <row r="170" spans="1:9" ht="15.75">
      <c r="A170" s="483"/>
      <c r="B170" s="483"/>
      <c r="C170" s="483"/>
      <c r="D170" s="483"/>
      <c r="E170" s="484"/>
      <c r="F170" s="484"/>
      <c r="G170" s="484"/>
      <c r="H170" s="487"/>
      <c r="I170" s="502"/>
    </row>
    <row r="171" spans="1:9" ht="20.25" customHeight="1">
      <c r="A171" s="472" t="s">
        <v>307</v>
      </c>
      <c r="B171" s="472"/>
      <c r="C171" s="472"/>
      <c r="D171" s="485"/>
      <c r="E171" s="486"/>
      <c r="F171" s="486"/>
      <c r="G171" s="486"/>
      <c r="H171" s="487"/>
      <c r="I171" s="502"/>
    </row>
    <row r="172" spans="1:9" ht="15.75">
      <c r="A172" s="580"/>
      <c r="B172" s="581"/>
      <c r="C172" s="581"/>
      <c r="D172" s="581"/>
      <c r="E172" s="581"/>
      <c r="F172" s="581"/>
      <c r="G172" s="582"/>
      <c r="H172" s="487"/>
      <c r="I172" s="502"/>
    </row>
    <row r="173" spans="1:9" ht="22.5" customHeight="1">
      <c r="A173" s="470" t="s">
        <v>305</v>
      </c>
      <c r="B173" s="471"/>
      <c r="C173" s="471"/>
      <c r="D173" s="479"/>
      <c r="E173" s="480"/>
      <c r="F173" s="480"/>
      <c r="G173" s="480"/>
      <c r="H173" s="505"/>
      <c r="I173" s="502"/>
    </row>
    <row r="174" spans="1:9" ht="15.75">
      <c r="A174" s="496"/>
      <c r="B174" s="496"/>
      <c r="C174" s="496"/>
      <c r="D174" s="496"/>
      <c r="E174" s="496"/>
      <c r="F174" s="496"/>
      <c r="G174" s="496"/>
      <c r="H174" s="487"/>
      <c r="I174" s="502"/>
    </row>
    <row r="175" spans="1:9" ht="15.75">
      <c r="A175" s="496"/>
      <c r="B175" s="496"/>
      <c r="C175" s="496"/>
      <c r="D175" s="496"/>
      <c r="E175" s="496"/>
      <c r="F175" s="496"/>
      <c r="G175" s="496"/>
      <c r="H175" s="487"/>
      <c r="I175" s="502"/>
    </row>
    <row r="176" spans="1:9" ht="15.75">
      <c r="A176" s="496"/>
      <c r="B176" s="496"/>
      <c r="C176" s="496"/>
      <c r="D176" s="496"/>
      <c r="E176" s="496"/>
      <c r="F176" s="496"/>
      <c r="G176" s="496"/>
      <c r="H176" s="503">
        <f>SUM(A174:G174)+(SUM(A175:G175)+SUM(A176:G176))</f>
        <v>0</v>
      </c>
      <c r="I176" s="504" t="str">
        <f>IF(AND(H176&gt;0,H176&lt;=95),"A",IF(AND(H176&gt;95,H176&lt;=110),"B",IF(AND(H176&gt;110,H176&lt;=130),"C",IF(AND(H176&gt;130,H176&lt;=160),"D",IF(H176&gt;160,"E","ND")))))</f>
        <v>ND</v>
      </c>
    </row>
    <row r="177" spans="1:9" ht="15.75">
      <c r="A177" s="483"/>
      <c r="B177" s="483"/>
      <c r="C177" s="483"/>
      <c r="D177" s="483"/>
      <c r="E177" s="484"/>
      <c r="F177" s="484"/>
      <c r="G177" s="484"/>
      <c r="H177" s="487"/>
      <c r="I177" s="502"/>
    </row>
    <row r="178" spans="1:9" ht="18" customHeight="1">
      <c r="A178" s="470" t="s">
        <v>306</v>
      </c>
      <c r="B178" s="471"/>
      <c r="C178" s="471"/>
      <c r="D178" s="483"/>
      <c r="E178" s="484"/>
      <c r="F178" s="484"/>
      <c r="G178" s="484"/>
      <c r="H178" s="487"/>
      <c r="I178" s="502"/>
    </row>
    <row r="179" spans="1:9" ht="15.75">
      <c r="A179" s="496"/>
      <c r="B179" s="496"/>
      <c r="C179" s="496"/>
      <c r="D179" s="496"/>
      <c r="E179" s="496"/>
      <c r="F179" s="496"/>
      <c r="G179" s="496"/>
      <c r="H179" s="487"/>
      <c r="I179" s="502"/>
    </row>
    <row r="180" spans="1:9" ht="15.75">
      <c r="A180" s="496"/>
      <c r="B180" s="496"/>
      <c r="C180" s="496"/>
      <c r="D180" s="496"/>
      <c r="E180" s="496"/>
      <c r="F180" s="496"/>
      <c r="G180" s="496"/>
      <c r="H180" s="487"/>
      <c r="I180" s="502"/>
    </row>
    <row r="181" spans="1:9" ht="15.75">
      <c r="A181" s="496"/>
      <c r="B181" s="496"/>
      <c r="C181" s="496"/>
      <c r="D181" s="496"/>
      <c r="E181" s="496"/>
      <c r="F181" s="496"/>
      <c r="G181" s="496"/>
      <c r="H181" s="503">
        <f>SUM(A179:G179)+(SUM(A180:G180)+SUM(A181:G181))</f>
        <v>0</v>
      </c>
      <c r="I181" s="502"/>
    </row>
    <row r="182" spans="1:9" ht="15.75">
      <c r="A182" s="483"/>
      <c r="B182" s="483"/>
      <c r="C182" s="483"/>
      <c r="D182" s="483"/>
      <c r="E182" s="484"/>
      <c r="F182" s="484"/>
      <c r="G182" s="484"/>
      <c r="H182" s="487"/>
      <c r="I182" s="502"/>
    </row>
    <row r="183" spans="1:9" ht="15.75">
      <c r="A183" s="478"/>
      <c r="B183" s="475"/>
      <c r="C183" s="475"/>
      <c r="D183" s="475"/>
      <c r="E183" s="475"/>
      <c r="F183" s="475"/>
      <c r="G183" s="475"/>
      <c r="H183" s="501"/>
      <c r="I183" s="502"/>
    </row>
    <row r="184" spans="1:9" ht="15.75">
      <c r="A184" s="472" t="s">
        <v>308</v>
      </c>
      <c r="B184" s="472"/>
      <c r="C184" s="472"/>
      <c r="D184" s="475"/>
      <c r="E184" s="475"/>
      <c r="F184" s="475"/>
      <c r="G184" s="475"/>
      <c r="H184" s="501"/>
      <c r="I184" s="502"/>
    </row>
    <row r="185" spans="1:9" ht="17.25" customHeight="1">
      <c r="A185" s="583"/>
      <c r="B185" s="584"/>
      <c r="C185" s="584"/>
      <c r="D185" s="584"/>
      <c r="E185" s="584"/>
      <c r="F185" s="584"/>
      <c r="G185" s="585"/>
      <c r="H185" s="501"/>
      <c r="I185" s="502"/>
    </row>
    <row r="186" spans="1:9" ht="18.75" customHeight="1">
      <c r="A186" s="470" t="s">
        <v>305</v>
      </c>
      <c r="B186" s="471"/>
      <c r="C186" s="471"/>
      <c r="D186" s="479"/>
      <c r="E186" s="480"/>
      <c r="F186" s="480"/>
      <c r="G186" s="480"/>
      <c r="H186" s="505"/>
      <c r="I186" s="502"/>
    </row>
    <row r="187" spans="1:9" ht="15.75">
      <c r="A187" s="496"/>
      <c r="B187" s="496"/>
      <c r="C187" s="496"/>
      <c r="D187" s="496"/>
      <c r="E187" s="496"/>
      <c r="F187" s="496"/>
      <c r="G187" s="496"/>
      <c r="H187" s="487"/>
      <c r="I187" s="502"/>
    </row>
    <row r="188" spans="1:9" ht="15.75">
      <c r="A188" s="496"/>
      <c r="B188" s="496"/>
      <c r="C188" s="496"/>
      <c r="D188" s="496"/>
      <c r="E188" s="496"/>
      <c r="F188" s="496"/>
      <c r="G188" s="496"/>
      <c r="H188" s="487"/>
      <c r="I188" s="502"/>
    </row>
    <row r="189" spans="1:9" ht="15.75">
      <c r="A189" s="496"/>
      <c r="B189" s="496"/>
      <c r="C189" s="496"/>
      <c r="D189" s="496"/>
      <c r="E189" s="496"/>
      <c r="F189" s="496"/>
      <c r="G189" s="496"/>
      <c r="H189" s="503">
        <f>SUM(A187:G187)+(SUM(A188:G188)+SUM(A189:G189))</f>
        <v>0</v>
      </c>
      <c r="I189" s="504" t="str">
        <f>IF(AND(H189&gt;0,H189&lt;=95),"A",IF(AND(H189&gt;95,H189&lt;=110),"B",IF(AND(H189&gt;110,H189&lt;=130),"C",IF(AND(H189&gt;130,H189&lt;=160),"D",IF(H189&gt;160,"E","ND")))))</f>
        <v>ND</v>
      </c>
    </row>
    <row r="190" spans="1:9" ht="15.75">
      <c r="A190" s="483"/>
      <c r="B190" s="483"/>
      <c r="C190" s="483"/>
      <c r="D190" s="483"/>
      <c r="E190" s="484"/>
      <c r="F190" s="484"/>
      <c r="G190" s="484"/>
      <c r="H190" s="487"/>
      <c r="I190" s="502"/>
    </row>
    <row r="191" spans="1:9" ht="15.75">
      <c r="A191" s="470" t="s">
        <v>306</v>
      </c>
      <c r="B191" s="471"/>
      <c r="C191" s="471"/>
      <c r="D191" s="483"/>
      <c r="E191" s="484"/>
      <c r="F191" s="484"/>
      <c r="G191" s="484"/>
      <c r="H191" s="487"/>
      <c r="I191" s="502"/>
    </row>
    <row r="192" spans="1:9" ht="15.75">
      <c r="A192" s="496"/>
      <c r="B192" s="496"/>
      <c r="C192" s="496"/>
      <c r="D192" s="496"/>
      <c r="E192" s="496"/>
      <c r="F192" s="496"/>
      <c r="G192" s="496"/>
      <c r="H192" s="487"/>
      <c r="I192" s="502"/>
    </row>
    <row r="193" spans="1:9" ht="15.75">
      <c r="A193" s="496"/>
      <c r="B193" s="496"/>
      <c r="C193" s="496"/>
      <c r="D193" s="496"/>
      <c r="E193" s="496"/>
      <c r="F193" s="496"/>
      <c r="G193" s="496"/>
      <c r="H193" s="487"/>
      <c r="I193" s="502"/>
    </row>
    <row r="194" spans="1:9" ht="15.75">
      <c r="A194" s="496"/>
      <c r="B194" s="496"/>
      <c r="C194" s="496"/>
      <c r="D194" s="496"/>
      <c r="E194" s="496"/>
      <c r="F194" s="496"/>
      <c r="G194" s="496"/>
      <c r="H194" s="503">
        <f>SUM(A192:G192)+(SUM(A193:G193)+SUM(A194:G194))</f>
        <v>0</v>
      </c>
      <c r="I194" s="502"/>
    </row>
    <row r="195" spans="1:9" ht="15.75">
      <c r="A195" s="483"/>
      <c r="B195" s="483"/>
      <c r="C195" s="483"/>
      <c r="D195" s="483"/>
      <c r="E195" s="484"/>
      <c r="F195" s="484"/>
      <c r="G195" s="484"/>
      <c r="H195" s="487"/>
      <c r="I195" s="502"/>
    </row>
    <row r="196" spans="1:9" ht="15.75">
      <c r="A196" s="483"/>
      <c r="B196" s="483"/>
      <c r="C196" s="483"/>
      <c r="D196" s="483"/>
      <c r="E196" s="484"/>
      <c r="F196" s="484"/>
      <c r="G196" s="484"/>
      <c r="H196" s="487"/>
      <c r="I196" s="502"/>
    </row>
    <row r="197" spans="1:9" ht="15.75">
      <c r="A197" s="472" t="s">
        <v>309</v>
      </c>
      <c r="B197" s="472"/>
      <c r="C197" s="472"/>
      <c r="D197" s="485"/>
      <c r="E197" s="486"/>
      <c r="F197" s="486"/>
      <c r="G197" s="486"/>
      <c r="H197" s="487"/>
      <c r="I197" s="502"/>
    </row>
    <row r="198" spans="1:9" ht="15.75">
      <c r="A198" s="580"/>
      <c r="B198" s="581"/>
      <c r="C198" s="581"/>
      <c r="D198" s="581"/>
      <c r="E198" s="581"/>
      <c r="F198" s="581"/>
      <c r="G198" s="582"/>
      <c r="H198" s="487"/>
      <c r="I198" s="502"/>
    </row>
    <row r="199" spans="1:9" ht="15.75">
      <c r="A199" s="470" t="s">
        <v>305</v>
      </c>
      <c r="B199" s="471"/>
      <c r="C199" s="471"/>
      <c r="D199" s="479"/>
      <c r="E199" s="480"/>
      <c r="F199" s="480"/>
      <c r="G199" s="480"/>
      <c r="H199" s="505"/>
      <c r="I199" s="502"/>
    </row>
    <row r="200" spans="1:9" ht="15.75">
      <c r="A200" s="496"/>
      <c r="B200" s="496"/>
      <c r="C200" s="496"/>
      <c r="D200" s="496"/>
      <c r="E200" s="496"/>
      <c r="F200" s="496"/>
      <c r="G200" s="496"/>
      <c r="H200" s="487"/>
      <c r="I200" s="502"/>
    </row>
    <row r="201" spans="1:9" ht="15.75">
      <c r="A201" s="496"/>
      <c r="B201" s="496"/>
      <c r="C201" s="496"/>
      <c r="D201" s="496"/>
      <c r="E201" s="496"/>
      <c r="F201" s="496"/>
      <c r="G201" s="496"/>
      <c r="H201" s="487"/>
      <c r="I201" s="502"/>
    </row>
    <row r="202" spans="1:9" ht="15.75">
      <c r="A202" s="496"/>
      <c r="B202" s="496"/>
      <c r="C202" s="496"/>
      <c r="D202" s="496"/>
      <c r="E202" s="496"/>
      <c r="F202" s="496"/>
      <c r="G202" s="496"/>
      <c r="H202" s="503">
        <f>SUM(A200:G200)+(SUM(A201:G201)+SUM(A202:G202))</f>
        <v>0</v>
      </c>
      <c r="I202" s="504" t="str">
        <f>IF(AND(H202&gt;0,H202&lt;=95),"A",IF(AND(H202&gt;95,H202&lt;=110),"B",IF(AND(H202&gt;110,H202&lt;=130),"C",IF(AND(H202&gt;130,H202&lt;=160),"D",IF(H202&gt;160,"E","ND")))))</f>
        <v>ND</v>
      </c>
    </row>
    <row r="203" spans="1:9" ht="15.75">
      <c r="A203" s="483"/>
      <c r="B203" s="483"/>
      <c r="C203" s="483"/>
      <c r="D203" s="483"/>
      <c r="E203" s="484"/>
      <c r="F203" s="484"/>
      <c r="G203" s="484"/>
      <c r="H203" s="487"/>
      <c r="I203" s="502"/>
    </row>
    <row r="204" spans="1:9" ht="15.75">
      <c r="A204" s="470" t="s">
        <v>306</v>
      </c>
      <c r="B204" s="471"/>
      <c r="C204" s="471"/>
      <c r="D204" s="483"/>
      <c r="E204" s="484"/>
      <c r="F204" s="484"/>
      <c r="G204" s="484"/>
      <c r="H204" s="487"/>
      <c r="I204" s="502"/>
    </row>
    <row r="205" spans="1:9" ht="15.75">
      <c r="A205" s="496"/>
      <c r="B205" s="496"/>
      <c r="C205" s="496"/>
      <c r="D205" s="496"/>
      <c r="E205" s="496"/>
      <c r="F205" s="496"/>
      <c r="G205" s="496"/>
      <c r="H205" s="487"/>
      <c r="I205" s="502"/>
    </row>
    <row r="206" spans="1:9" ht="15.75">
      <c r="A206" s="496"/>
      <c r="B206" s="496"/>
      <c r="C206" s="496"/>
      <c r="D206" s="496"/>
      <c r="E206" s="496"/>
      <c r="F206" s="496"/>
      <c r="G206" s="496"/>
      <c r="H206" s="487"/>
      <c r="I206" s="502"/>
    </row>
    <row r="207" spans="1:9" ht="15.75">
      <c r="A207" s="496"/>
      <c r="B207" s="496"/>
      <c r="C207" s="496"/>
      <c r="D207" s="496"/>
      <c r="E207" s="496"/>
      <c r="F207" s="496"/>
      <c r="G207" s="496"/>
      <c r="H207" s="503">
        <f>SUM(A205:G205)+(SUM(A206:G206)+SUM(A207:G207))</f>
        <v>0</v>
      </c>
      <c r="I207" s="502"/>
    </row>
    <row r="208" spans="1:9" ht="15.75">
      <c r="A208" s="483"/>
      <c r="B208" s="483"/>
      <c r="C208" s="483"/>
      <c r="D208" s="483"/>
      <c r="E208" s="484"/>
      <c r="F208" s="484"/>
      <c r="G208" s="484"/>
      <c r="H208" s="487"/>
      <c r="I208" s="502"/>
    </row>
    <row r="209" spans="1:9" ht="15.75">
      <c r="A209" s="478"/>
      <c r="B209" s="475"/>
      <c r="C209" s="475"/>
      <c r="D209" s="475"/>
      <c r="E209" s="475"/>
      <c r="F209" s="475"/>
      <c r="G209" s="475"/>
      <c r="H209" s="501"/>
      <c r="I209" s="502"/>
    </row>
    <row r="210" spans="1:9" ht="15.75">
      <c r="A210" s="472" t="s">
        <v>310</v>
      </c>
      <c r="B210" s="472"/>
      <c r="C210" s="472"/>
      <c r="D210" s="475"/>
      <c r="E210" s="475"/>
      <c r="F210" s="475"/>
      <c r="G210" s="475"/>
      <c r="H210" s="501"/>
      <c r="I210" s="502"/>
    </row>
    <row r="211" spans="1:9" ht="15.75">
      <c r="A211" s="583"/>
      <c r="B211" s="584"/>
      <c r="C211" s="584"/>
      <c r="D211" s="584"/>
      <c r="E211" s="584"/>
      <c r="F211" s="584"/>
      <c r="G211" s="585"/>
      <c r="H211" s="501"/>
      <c r="I211" s="502"/>
    </row>
    <row r="212" spans="1:9" ht="15.75">
      <c r="A212" s="470" t="s">
        <v>305</v>
      </c>
      <c r="B212" s="471"/>
      <c r="C212" s="471"/>
      <c r="D212" s="479"/>
      <c r="E212" s="480"/>
      <c r="F212" s="480"/>
      <c r="G212" s="480"/>
      <c r="H212" s="505"/>
      <c r="I212" s="502"/>
    </row>
    <row r="213" spans="1:9" ht="15.75">
      <c r="A213" s="496"/>
      <c r="B213" s="496"/>
      <c r="C213" s="496"/>
      <c r="D213" s="496"/>
      <c r="E213" s="496"/>
      <c r="F213" s="496"/>
      <c r="G213" s="496"/>
      <c r="H213" s="487"/>
      <c r="I213" s="502"/>
    </row>
    <row r="214" spans="1:9" ht="15.75">
      <c r="A214" s="496"/>
      <c r="B214" s="496"/>
      <c r="C214" s="496"/>
      <c r="D214" s="496"/>
      <c r="E214" s="496"/>
      <c r="F214" s="496"/>
      <c r="G214" s="496"/>
      <c r="H214" s="487"/>
      <c r="I214" s="502"/>
    </row>
    <row r="215" spans="1:9" ht="15.75">
      <c r="A215" s="496"/>
      <c r="B215" s="496"/>
      <c r="C215" s="496"/>
      <c r="D215" s="496"/>
      <c r="E215" s="496"/>
      <c r="F215" s="496"/>
      <c r="G215" s="496"/>
      <c r="H215" s="503">
        <f>SUM(A213:G213)+(SUM(A214:G214)+SUM(A215:G215))</f>
        <v>0</v>
      </c>
      <c r="I215" s="504" t="str">
        <f>IF(AND(H215&gt;0,H215&lt;=95),"A",IF(AND(H215&gt;95,H215&lt;=110),"B",IF(AND(H215&gt;110,H215&lt;=130),"C",IF(AND(H215&gt;130,H215&lt;=160),"D",IF(H215&gt;160,"E","ND")))))</f>
        <v>ND</v>
      </c>
    </row>
    <row r="216" spans="1:9" ht="15.75">
      <c r="A216" s="483"/>
      <c r="B216" s="483"/>
      <c r="C216" s="483"/>
      <c r="D216" s="483"/>
      <c r="E216" s="484"/>
      <c r="F216" s="484"/>
      <c r="G216" s="484"/>
      <c r="H216" s="487"/>
      <c r="I216" s="502"/>
    </row>
    <row r="217" spans="1:9" ht="15.75">
      <c r="A217" s="470" t="s">
        <v>306</v>
      </c>
      <c r="B217" s="471"/>
      <c r="C217" s="471"/>
      <c r="D217" s="483"/>
      <c r="E217" s="484"/>
      <c r="F217" s="484"/>
      <c r="G217" s="484"/>
      <c r="H217" s="487"/>
      <c r="I217" s="502"/>
    </row>
    <row r="218" spans="1:9" ht="15.75">
      <c r="A218" s="496"/>
      <c r="B218" s="496"/>
      <c r="C218" s="496"/>
      <c r="D218" s="496"/>
      <c r="E218" s="496"/>
      <c r="F218" s="496"/>
      <c r="G218" s="496"/>
      <c r="H218" s="487"/>
      <c r="I218" s="502"/>
    </row>
    <row r="219" spans="1:9" ht="15.75">
      <c r="A219" s="496"/>
      <c r="B219" s="496"/>
      <c r="C219" s="496"/>
      <c r="D219" s="496"/>
      <c r="E219" s="496"/>
      <c r="F219" s="496"/>
      <c r="G219" s="496"/>
      <c r="H219" s="487"/>
      <c r="I219" s="502"/>
    </row>
    <row r="220" spans="1:9" ht="15.75">
      <c r="A220" s="496"/>
      <c r="B220" s="496"/>
      <c r="C220" s="496"/>
      <c r="D220" s="496"/>
      <c r="E220" s="496"/>
      <c r="F220" s="496"/>
      <c r="G220" s="496"/>
      <c r="H220" s="503">
        <f>SUM(A218:G218)+(SUM(A219:G219)+SUM(A220:G220))</f>
        <v>0</v>
      </c>
      <c r="I220" s="502"/>
    </row>
    <row r="221" spans="1:9" ht="15.75">
      <c r="A221" s="483"/>
      <c r="B221" s="483"/>
      <c r="C221" s="483"/>
      <c r="D221" s="483"/>
      <c r="E221" s="484"/>
      <c r="F221" s="484"/>
      <c r="G221" s="484"/>
      <c r="H221" s="487"/>
      <c r="I221" s="502"/>
    </row>
    <row r="222" spans="1:9" ht="15.75">
      <c r="A222" s="483"/>
      <c r="B222" s="483"/>
      <c r="C222" s="483"/>
      <c r="D222" s="483"/>
      <c r="E222" s="484"/>
      <c r="F222" s="484"/>
      <c r="G222" s="484"/>
      <c r="H222" s="487"/>
      <c r="I222" s="502"/>
    </row>
    <row r="223" spans="1:9" ht="15.75">
      <c r="A223" s="472" t="s">
        <v>311</v>
      </c>
      <c r="B223" s="472"/>
      <c r="C223" s="472"/>
      <c r="D223" s="485"/>
      <c r="E223" s="486"/>
      <c r="F223" s="486"/>
      <c r="G223" s="486"/>
      <c r="H223" s="487"/>
      <c r="I223" s="502"/>
    </row>
    <row r="224" spans="1:9" ht="15.75">
      <c r="A224" s="580"/>
      <c r="B224" s="581"/>
      <c r="C224" s="581"/>
      <c r="D224" s="581"/>
      <c r="E224" s="581"/>
      <c r="F224" s="581"/>
      <c r="G224" s="582"/>
      <c r="H224" s="487"/>
      <c r="I224" s="502"/>
    </row>
    <row r="225" spans="1:9" ht="15.75">
      <c r="A225" s="470" t="s">
        <v>305</v>
      </c>
      <c r="B225" s="471"/>
      <c r="C225" s="471"/>
      <c r="D225" s="479"/>
      <c r="E225" s="480"/>
      <c r="F225" s="480"/>
      <c r="G225" s="480"/>
      <c r="H225" s="505"/>
      <c r="I225" s="502"/>
    </row>
    <row r="226" spans="1:9" ht="15.75">
      <c r="A226" s="496"/>
      <c r="B226" s="496"/>
      <c r="C226" s="496"/>
      <c r="D226" s="496"/>
      <c r="E226" s="496"/>
      <c r="F226" s="496"/>
      <c r="G226" s="496"/>
      <c r="H226" s="487"/>
      <c r="I226" s="502"/>
    </row>
    <row r="227" spans="1:9" ht="15.75">
      <c r="A227" s="496"/>
      <c r="B227" s="496"/>
      <c r="C227" s="496"/>
      <c r="D227" s="496"/>
      <c r="E227" s="496"/>
      <c r="F227" s="496"/>
      <c r="G227" s="496"/>
      <c r="H227" s="487"/>
      <c r="I227" s="502"/>
    </row>
    <row r="228" spans="1:9" ht="15.75">
      <c r="A228" s="496"/>
      <c r="B228" s="496"/>
      <c r="C228" s="496"/>
      <c r="D228" s="496"/>
      <c r="E228" s="496"/>
      <c r="F228" s="496"/>
      <c r="G228" s="496"/>
      <c r="H228" s="503">
        <f>SUM(A226:G226)+(SUM(A227:G227)+SUM(A228:G228))</f>
        <v>0</v>
      </c>
      <c r="I228" s="504" t="str">
        <f>IF(AND(H228&gt;0,H228&lt;=95),"A",IF(AND(H228&gt;95,H228&lt;=110),"B",IF(AND(H228&gt;110,H228&lt;=130),"C",IF(AND(H228&gt;130,H228&lt;=160),"D",IF(H228&gt;160,"E","ND")))))</f>
        <v>ND</v>
      </c>
    </row>
    <row r="229" spans="1:9" ht="15.75">
      <c r="A229" s="483"/>
      <c r="B229" s="483"/>
      <c r="C229" s="483"/>
      <c r="D229" s="483"/>
      <c r="E229" s="484"/>
      <c r="F229" s="484"/>
      <c r="G229" s="484"/>
      <c r="H229" s="487"/>
      <c r="I229" s="502"/>
    </row>
    <row r="230" spans="1:9" ht="15.75">
      <c r="A230" s="470" t="s">
        <v>306</v>
      </c>
      <c r="B230" s="471"/>
      <c r="C230" s="471"/>
      <c r="D230" s="483"/>
      <c r="E230" s="484"/>
      <c r="F230" s="484"/>
      <c r="G230" s="484"/>
      <c r="H230" s="487"/>
      <c r="I230" s="502"/>
    </row>
    <row r="231" spans="1:9" ht="15.75">
      <c r="A231" s="496"/>
      <c r="B231" s="496"/>
      <c r="C231" s="496"/>
      <c r="D231" s="496"/>
      <c r="E231" s="496"/>
      <c r="F231" s="496"/>
      <c r="G231" s="496"/>
      <c r="H231" s="487"/>
      <c r="I231" s="502"/>
    </row>
    <row r="232" spans="1:9" ht="15.75">
      <c r="A232" s="496"/>
      <c r="B232" s="496"/>
      <c r="C232" s="496"/>
      <c r="D232" s="496"/>
      <c r="E232" s="496"/>
      <c r="F232" s="496"/>
      <c r="G232" s="496"/>
      <c r="H232" s="487"/>
      <c r="I232" s="502"/>
    </row>
    <row r="233" spans="1:9" ht="15.75">
      <c r="A233" s="496"/>
      <c r="B233" s="496"/>
      <c r="C233" s="496"/>
      <c r="D233" s="496"/>
      <c r="E233" s="496"/>
      <c r="F233" s="496"/>
      <c r="G233" s="496"/>
      <c r="H233" s="503">
        <f>SUM(A231:G231)+(SUM(A232:G232)+SUM(A233:G233))</f>
        <v>0</v>
      </c>
      <c r="I233" s="502"/>
    </row>
    <row r="234" spans="1:9" ht="15.75">
      <c r="A234" s="483"/>
      <c r="B234" s="483"/>
      <c r="C234" s="483"/>
      <c r="D234" s="483"/>
      <c r="E234" s="484"/>
      <c r="F234" s="484"/>
      <c r="G234" s="484"/>
      <c r="H234" s="487"/>
      <c r="I234" s="502"/>
    </row>
    <row r="235" spans="1:9" ht="15.75">
      <c r="A235" s="478"/>
      <c r="B235" s="475"/>
      <c r="C235" s="475"/>
      <c r="D235" s="475"/>
      <c r="E235" s="475"/>
      <c r="F235" s="475"/>
      <c r="G235" s="475"/>
      <c r="H235" s="501"/>
      <c r="I235" s="502"/>
    </row>
    <row r="236" spans="1:9" ht="15.75">
      <c r="A236" s="472" t="s">
        <v>312</v>
      </c>
      <c r="B236" s="472"/>
      <c r="C236" s="472"/>
      <c r="D236" s="475"/>
      <c r="E236" s="475"/>
      <c r="F236" s="475"/>
      <c r="G236" s="475"/>
      <c r="H236" s="501"/>
      <c r="I236" s="502"/>
    </row>
    <row r="237" spans="1:9" ht="15.75">
      <c r="A237" s="583"/>
      <c r="B237" s="584"/>
      <c r="C237" s="584"/>
      <c r="D237" s="584"/>
      <c r="E237" s="584"/>
      <c r="F237" s="584"/>
      <c r="G237" s="585"/>
      <c r="H237" s="501"/>
      <c r="I237" s="502"/>
    </row>
    <row r="238" spans="1:9" ht="15.75">
      <c r="A238" s="470" t="s">
        <v>305</v>
      </c>
      <c r="B238" s="471"/>
      <c r="C238" s="471"/>
      <c r="D238" s="479"/>
      <c r="E238" s="480"/>
      <c r="F238" s="480"/>
      <c r="G238" s="480"/>
      <c r="H238" s="505"/>
      <c r="I238" s="502"/>
    </row>
    <row r="239" spans="1:9" ht="15.75">
      <c r="A239" s="496"/>
      <c r="B239" s="496"/>
      <c r="C239" s="496"/>
      <c r="D239" s="496"/>
      <c r="E239" s="496"/>
      <c r="F239" s="496"/>
      <c r="G239" s="496"/>
      <c r="H239" s="487"/>
      <c r="I239" s="502"/>
    </row>
    <row r="240" spans="1:9" ht="15.75">
      <c r="A240" s="496"/>
      <c r="B240" s="496"/>
      <c r="C240" s="496"/>
      <c r="D240" s="496"/>
      <c r="E240" s="496"/>
      <c r="F240" s="496"/>
      <c r="G240" s="496"/>
      <c r="H240" s="487"/>
      <c r="I240" s="502"/>
    </row>
    <row r="241" spans="1:9" ht="15.75">
      <c r="A241" s="496"/>
      <c r="B241" s="496"/>
      <c r="C241" s="496"/>
      <c r="D241" s="496"/>
      <c r="E241" s="496"/>
      <c r="F241" s="496"/>
      <c r="G241" s="496"/>
      <c r="H241" s="503">
        <f>SUM(A239:G239)+(SUM(A240:G240)+SUM(A241:G241))</f>
        <v>0</v>
      </c>
      <c r="I241" s="504" t="str">
        <f>IF(AND(H241&gt;0,H241&lt;=95),"A",IF(AND(H241&gt;95,H241&lt;=110),"B",IF(AND(H241&gt;110,H241&lt;=130),"C",IF(AND(H241&gt;130,H241&lt;=160),"D",IF(H241&gt;160,"E","ND")))))</f>
        <v>ND</v>
      </c>
    </row>
    <row r="242" spans="1:9" ht="15.75">
      <c r="A242" s="483"/>
      <c r="B242" s="483"/>
      <c r="C242" s="483"/>
      <c r="D242" s="483"/>
      <c r="E242" s="484"/>
      <c r="F242" s="484"/>
      <c r="G242" s="484"/>
      <c r="H242" s="487"/>
      <c r="I242" s="502"/>
    </row>
    <row r="243" spans="1:9" ht="15.75">
      <c r="A243" s="470" t="s">
        <v>306</v>
      </c>
      <c r="B243" s="471"/>
      <c r="C243" s="471"/>
      <c r="D243" s="483"/>
      <c r="E243" s="484"/>
      <c r="F243" s="484"/>
      <c r="G243" s="484"/>
      <c r="H243" s="487"/>
      <c r="I243" s="502"/>
    </row>
    <row r="244" spans="1:9" ht="15.75">
      <c r="A244" s="496"/>
      <c r="B244" s="496"/>
      <c r="C244" s="496"/>
      <c r="D244" s="496"/>
      <c r="E244" s="496"/>
      <c r="F244" s="496"/>
      <c r="G244" s="496"/>
      <c r="H244" s="487"/>
      <c r="I244" s="502"/>
    </row>
    <row r="245" spans="1:9" ht="15.75">
      <c r="A245" s="496"/>
      <c r="B245" s="496"/>
      <c r="C245" s="496"/>
      <c r="D245" s="496"/>
      <c r="E245" s="496"/>
      <c r="F245" s="496"/>
      <c r="G245" s="496"/>
      <c r="H245" s="487"/>
      <c r="I245" s="502"/>
    </row>
    <row r="246" spans="1:9" ht="15.75">
      <c r="A246" s="496"/>
      <c r="B246" s="496"/>
      <c r="C246" s="496"/>
      <c r="D246" s="496"/>
      <c r="E246" s="496"/>
      <c r="F246" s="496"/>
      <c r="G246" s="496"/>
      <c r="H246" s="503">
        <f>SUM(A244:G244)+(SUM(A245:G245)+SUM(A246:G246))</f>
        <v>0</v>
      </c>
      <c r="I246" s="502"/>
    </row>
    <row r="247" spans="1:9" ht="15.75">
      <c r="A247" s="483"/>
      <c r="B247" s="483"/>
      <c r="C247" s="483"/>
      <c r="D247" s="483"/>
      <c r="E247" s="484"/>
      <c r="F247" s="484"/>
      <c r="G247" s="484"/>
      <c r="H247" s="487"/>
      <c r="I247" s="502"/>
    </row>
    <row r="248" spans="1:9" ht="15.75">
      <c r="A248" s="483"/>
      <c r="B248" s="483"/>
      <c r="C248" s="483"/>
      <c r="D248" s="483"/>
      <c r="E248" s="484"/>
      <c r="F248" s="484"/>
      <c r="G248" s="484"/>
      <c r="H248" s="487"/>
      <c r="I248" s="502"/>
    </row>
    <row r="249" spans="1:9" ht="15.75">
      <c r="A249" s="472" t="s">
        <v>313</v>
      </c>
      <c r="B249" s="472"/>
      <c r="C249" s="472"/>
      <c r="D249" s="485"/>
      <c r="E249" s="486"/>
      <c r="F249" s="486"/>
      <c r="G249" s="486"/>
      <c r="H249" s="487"/>
      <c r="I249" s="502"/>
    </row>
    <row r="250" spans="1:9" ht="15.75">
      <c r="A250" s="580"/>
      <c r="B250" s="581"/>
      <c r="C250" s="581"/>
      <c r="D250" s="581"/>
      <c r="E250" s="581"/>
      <c r="F250" s="581"/>
      <c r="G250" s="582"/>
      <c r="H250" s="487"/>
      <c r="I250" s="502"/>
    </row>
    <row r="251" spans="1:9" ht="15.75">
      <c r="A251" s="470" t="s">
        <v>305</v>
      </c>
      <c r="B251" s="471"/>
      <c r="C251" s="471"/>
      <c r="D251" s="479"/>
      <c r="E251" s="480"/>
      <c r="F251" s="480"/>
      <c r="G251" s="480"/>
      <c r="H251" s="505"/>
      <c r="I251" s="502"/>
    </row>
    <row r="252" spans="1:9" ht="15.75">
      <c r="A252" s="496"/>
      <c r="B252" s="496"/>
      <c r="C252" s="496"/>
      <c r="D252" s="496"/>
      <c r="E252" s="496"/>
      <c r="F252" s="496"/>
      <c r="G252" s="496"/>
      <c r="H252" s="487"/>
      <c r="I252" s="502"/>
    </row>
    <row r="253" spans="1:9" ht="15.75">
      <c r="A253" s="496"/>
      <c r="B253" s="496"/>
      <c r="C253" s="496"/>
      <c r="D253" s="496"/>
      <c r="E253" s="496"/>
      <c r="F253" s="496"/>
      <c r="G253" s="496"/>
      <c r="H253" s="487"/>
      <c r="I253" s="502"/>
    </row>
    <row r="254" spans="1:9" ht="15.75">
      <c r="A254" s="496"/>
      <c r="B254" s="496"/>
      <c r="C254" s="496"/>
      <c r="D254" s="496"/>
      <c r="E254" s="496"/>
      <c r="F254" s="496"/>
      <c r="G254" s="496"/>
      <c r="H254" s="503">
        <f>SUM(A252:G252)+(SUM(A253:G253)+SUM(A254:G254))</f>
        <v>0</v>
      </c>
      <c r="I254" s="504" t="str">
        <f>IF(AND(H254&gt;0,H254&lt;=95),"A",IF(AND(H254&gt;95,H254&lt;=110),"B",IF(AND(H254&gt;110,H254&lt;=130),"C",IF(AND(H254&gt;130,H254&lt;=160),"D",IF(H254&gt;160,"E","ND")))))</f>
        <v>ND</v>
      </c>
    </row>
    <row r="255" spans="1:9" ht="15.75">
      <c r="A255" s="483"/>
      <c r="B255" s="483"/>
      <c r="C255" s="483"/>
      <c r="D255" s="483"/>
      <c r="E255" s="484"/>
      <c r="F255" s="484"/>
      <c r="G255" s="484"/>
      <c r="H255" s="487"/>
      <c r="I255" s="502"/>
    </row>
    <row r="256" spans="1:9" ht="15.75">
      <c r="A256" s="470" t="s">
        <v>306</v>
      </c>
      <c r="B256" s="471"/>
      <c r="C256" s="471"/>
      <c r="D256" s="483"/>
      <c r="E256" s="484"/>
      <c r="F256" s="484"/>
      <c r="G256" s="484"/>
      <c r="H256" s="487"/>
      <c r="I256" s="502"/>
    </row>
    <row r="257" spans="1:9" ht="15.75">
      <c r="A257" s="496"/>
      <c r="B257" s="496"/>
      <c r="C257" s="496"/>
      <c r="D257" s="496"/>
      <c r="E257" s="496"/>
      <c r="F257" s="496"/>
      <c r="G257" s="496"/>
      <c r="H257" s="487"/>
      <c r="I257" s="502"/>
    </row>
    <row r="258" spans="1:9" ht="15.75">
      <c r="A258" s="496"/>
      <c r="B258" s="496"/>
      <c r="C258" s="496"/>
      <c r="D258" s="496"/>
      <c r="E258" s="496"/>
      <c r="F258" s="496"/>
      <c r="G258" s="496"/>
      <c r="H258" s="487"/>
      <c r="I258" s="502"/>
    </row>
    <row r="259" spans="1:9" ht="15.75">
      <c r="A259" s="496"/>
      <c r="B259" s="496"/>
      <c r="C259" s="496"/>
      <c r="D259" s="496"/>
      <c r="E259" s="496"/>
      <c r="F259" s="496"/>
      <c r="G259" s="496"/>
      <c r="H259" s="503">
        <f>SUM(A257:G257)+(SUM(A258:G258)+SUM(A259:G259))</f>
        <v>0</v>
      </c>
      <c r="I259" s="502"/>
    </row>
    <row r="260" spans="1:9" ht="15.75">
      <c r="A260" s="483"/>
      <c r="B260" s="483"/>
      <c r="C260" s="483"/>
      <c r="D260" s="483"/>
      <c r="E260" s="484"/>
      <c r="F260" s="484"/>
      <c r="G260" s="484"/>
      <c r="H260" s="487"/>
      <c r="I260" s="502"/>
    </row>
    <row r="261" spans="1:9" ht="15.75">
      <c r="A261" s="478"/>
      <c r="B261" s="475"/>
      <c r="C261" s="475"/>
      <c r="D261" s="475"/>
      <c r="E261" s="475"/>
      <c r="F261" s="475"/>
      <c r="G261" s="475"/>
      <c r="H261" s="501"/>
      <c r="I261" s="502"/>
    </row>
    <row r="262" spans="1:9" ht="15.75">
      <c r="A262" s="472" t="s">
        <v>314</v>
      </c>
      <c r="B262" s="472"/>
      <c r="C262" s="472"/>
      <c r="D262" s="475"/>
      <c r="E262" s="475"/>
      <c r="F262" s="475"/>
      <c r="G262" s="475"/>
      <c r="H262" s="501"/>
      <c r="I262" s="502"/>
    </row>
    <row r="263" spans="1:9" ht="15.75">
      <c r="A263" s="583"/>
      <c r="B263" s="584"/>
      <c r="C263" s="584"/>
      <c r="D263" s="584"/>
      <c r="E263" s="584"/>
      <c r="F263" s="584"/>
      <c r="G263" s="585"/>
      <c r="H263" s="501"/>
      <c r="I263" s="502"/>
    </row>
    <row r="264" spans="1:9" ht="15.75">
      <c r="A264" s="470" t="s">
        <v>305</v>
      </c>
      <c r="B264" s="471"/>
      <c r="C264" s="471"/>
      <c r="D264" s="479"/>
      <c r="E264" s="480"/>
      <c r="F264" s="480"/>
      <c r="G264" s="480"/>
      <c r="H264" s="505"/>
      <c r="I264" s="502"/>
    </row>
    <row r="265" spans="1:9" ht="15.75">
      <c r="A265" s="496"/>
      <c r="B265" s="496"/>
      <c r="C265" s="496"/>
      <c r="D265" s="496"/>
      <c r="E265" s="496"/>
      <c r="F265" s="496"/>
      <c r="G265" s="496"/>
      <c r="H265" s="487"/>
      <c r="I265" s="502"/>
    </row>
    <row r="266" spans="1:9" ht="15.75">
      <c r="A266" s="496"/>
      <c r="B266" s="496"/>
      <c r="C266" s="496"/>
      <c r="D266" s="496"/>
      <c r="E266" s="496"/>
      <c r="F266" s="496"/>
      <c r="G266" s="496"/>
      <c r="H266" s="487"/>
      <c r="I266" s="502"/>
    </row>
    <row r="267" spans="1:9" ht="15.75">
      <c r="A267" s="496"/>
      <c r="B267" s="496"/>
      <c r="C267" s="496"/>
      <c r="D267" s="496"/>
      <c r="E267" s="496"/>
      <c r="F267" s="496"/>
      <c r="G267" s="496"/>
      <c r="H267" s="503">
        <f>SUM(A265:G265)+(SUM(A266:G266)+SUM(A267:G267))</f>
        <v>0</v>
      </c>
      <c r="I267" s="504" t="str">
        <f>IF(AND(H267&gt;0,H267&lt;=95),"A",IF(AND(H267&gt;95,H267&lt;=110),"B",IF(AND(H267&gt;110,H267&lt;=130),"C",IF(AND(H267&gt;130,H267&lt;=160),"D",IF(H267&gt;160,"E","ND")))))</f>
        <v>ND</v>
      </c>
    </row>
    <row r="268" spans="1:9" ht="15.75">
      <c r="A268" s="483"/>
      <c r="B268" s="483"/>
      <c r="C268" s="483"/>
      <c r="D268" s="483"/>
      <c r="E268" s="484"/>
      <c r="F268" s="484"/>
      <c r="G268" s="484"/>
      <c r="H268" s="487"/>
      <c r="I268" s="502"/>
    </row>
    <row r="269" spans="1:9" ht="15.75">
      <c r="A269" s="470" t="s">
        <v>306</v>
      </c>
      <c r="B269" s="471"/>
      <c r="C269" s="471"/>
      <c r="D269" s="483"/>
      <c r="E269" s="484"/>
      <c r="F269" s="484"/>
      <c r="G269" s="484"/>
      <c r="H269" s="487"/>
      <c r="I269" s="502"/>
    </row>
    <row r="270" spans="1:9" ht="15.75">
      <c r="A270" s="496"/>
      <c r="B270" s="496"/>
      <c r="C270" s="496"/>
      <c r="D270" s="496"/>
      <c r="E270" s="496"/>
      <c r="F270" s="496"/>
      <c r="G270" s="496"/>
      <c r="H270" s="487"/>
      <c r="I270" s="502"/>
    </row>
    <row r="271" spans="1:9" ht="15.75">
      <c r="A271" s="496"/>
      <c r="B271" s="496"/>
      <c r="C271" s="496"/>
      <c r="D271" s="496"/>
      <c r="E271" s="496"/>
      <c r="F271" s="496"/>
      <c r="G271" s="496"/>
      <c r="H271" s="487"/>
      <c r="I271" s="502"/>
    </row>
    <row r="272" spans="1:9" ht="15.75">
      <c r="A272" s="496"/>
      <c r="B272" s="496"/>
      <c r="C272" s="496"/>
      <c r="D272" s="496"/>
      <c r="E272" s="496"/>
      <c r="F272" s="496"/>
      <c r="G272" s="496"/>
      <c r="H272" s="503">
        <f>SUM(A270:G270)+(SUM(A271:G271)+SUM(A272:G272))</f>
        <v>0</v>
      </c>
      <c r="I272" s="502"/>
    </row>
    <row r="273" spans="1:9" ht="15.75">
      <c r="A273" s="483"/>
      <c r="B273" s="483"/>
      <c r="C273" s="483"/>
      <c r="D273" s="483"/>
      <c r="E273" s="484"/>
      <c r="F273" s="484"/>
      <c r="G273" s="484"/>
      <c r="H273" s="487"/>
      <c r="I273" s="502"/>
    </row>
    <row r="274" spans="1:9" ht="15.75">
      <c r="A274" s="483"/>
      <c r="B274" s="483"/>
      <c r="C274" s="483"/>
      <c r="D274" s="483"/>
      <c r="E274" s="484"/>
      <c r="F274" s="484"/>
      <c r="G274" s="484"/>
      <c r="H274" s="487"/>
      <c r="I274" s="502"/>
    </row>
    <row r="275" spans="1:9" ht="15.75">
      <c r="A275" s="472" t="s">
        <v>315</v>
      </c>
      <c r="B275" s="472"/>
      <c r="C275" s="472"/>
      <c r="D275" s="485"/>
      <c r="E275" s="486"/>
      <c r="F275" s="486"/>
      <c r="G275" s="486"/>
      <c r="H275" s="487"/>
      <c r="I275" s="502"/>
    </row>
    <row r="276" spans="1:9" ht="15.75">
      <c r="A276" s="580"/>
      <c r="B276" s="581"/>
      <c r="C276" s="581"/>
      <c r="D276" s="581"/>
      <c r="E276" s="581"/>
      <c r="F276" s="581"/>
      <c r="G276" s="582"/>
      <c r="H276" s="487"/>
      <c r="I276" s="502"/>
    </row>
    <row r="277" spans="1:9" ht="15.75">
      <c r="A277" s="470" t="s">
        <v>305</v>
      </c>
      <c r="B277" s="471"/>
      <c r="C277" s="471"/>
      <c r="D277" s="479"/>
      <c r="E277" s="480"/>
      <c r="F277" s="480"/>
      <c r="G277" s="480"/>
      <c r="H277" s="505"/>
      <c r="I277" s="502"/>
    </row>
    <row r="278" spans="1:9" ht="15.75">
      <c r="A278" s="496"/>
      <c r="B278" s="496"/>
      <c r="C278" s="496"/>
      <c r="D278" s="496"/>
      <c r="E278" s="496"/>
      <c r="F278" s="496"/>
      <c r="G278" s="496"/>
      <c r="H278" s="487"/>
      <c r="I278" s="502"/>
    </row>
    <row r="279" spans="1:9" ht="15.75">
      <c r="A279" s="496"/>
      <c r="B279" s="496"/>
      <c r="C279" s="496"/>
      <c r="D279" s="496"/>
      <c r="E279" s="496"/>
      <c r="F279" s="496"/>
      <c r="G279" s="496"/>
      <c r="H279" s="487"/>
      <c r="I279" s="502"/>
    </row>
    <row r="280" spans="1:9" ht="15.75">
      <c r="A280" s="496"/>
      <c r="B280" s="496"/>
      <c r="C280" s="496"/>
      <c r="D280" s="496"/>
      <c r="E280" s="496"/>
      <c r="F280" s="496"/>
      <c r="G280" s="496"/>
      <c r="H280" s="503">
        <f>SUM(A278:G278)+(SUM(A279:G279)+SUM(A280:G280))</f>
        <v>0</v>
      </c>
      <c r="I280" s="504" t="str">
        <f>IF(AND(H280&gt;0,H280&lt;=95),"A",IF(AND(H280&gt;95,H280&lt;=110),"B",IF(AND(H280&gt;110,H280&lt;=130),"C",IF(AND(H280&gt;130,H280&lt;=160),"D",IF(H280&gt;160,"E","ND")))))</f>
        <v>ND</v>
      </c>
    </row>
    <row r="281" spans="1:9" ht="15.75">
      <c r="A281" s="483"/>
      <c r="B281" s="483"/>
      <c r="C281" s="483"/>
      <c r="D281" s="483"/>
      <c r="E281" s="484"/>
      <c r="F281" s="484"/>
      <c r="G281" s="484"/>
      <c r="H281" s="487"/>
      <c r="I281" s="502"/>
    </row>
    <row r="282" spans="1:9" ht="15.75">
      <c r="A282" s="470" t="s">
        <v>306</v>
      </c>
      <c r="B282" s="471"/>
      <c r="C282" s="471"/>
      <c r="D282" s="483"/>
      <c r="E282" s="484"/>
      <c r="F282" s="484"/>
      <c r="G282" s="484"/>
      <c r="H282" s="487"/>
      <c r="I282" s="502"/>
    </row>
    <row r="283" spans="1:9" ht="15.75">
      <c r="A283" s="496"/>
      <c r="B283" s="496"/>
      <c r="C283" s="496"/>
      <c r="D283" s="496"/>
      <c r="E283" s="496"/>
      <c r="F283" s="496"/>
      <c r="G283" s="496"/>
      <c r="H283" s="487"/>
      <c r="I283" s="502"/>
    </row>
    <row r="284" spans="1:9" ht="15.75">
      <c r="A284" s="496"/>
      <c r="B284" s="496"/>
      <c r="C284" s="496"/>
      <c r="D284" s="496"/>
      <c r="E284" s="496"/>
      <c r="F284" s="496"/>
      <c r="G284" s="496"/>
      <c r="H284" s="487"/>
      <c r="I284" s="502"/>
    </row>
    <row r="285" spans="1:9" ht="15.75">
      <c r="A285" s="496"/>
      <c r="B285" s="496"/>
      <c r="C285" s="496"/>
      <c r="D285" s="496"/>
      <c r="E285" s="496"/>
      <c r="F285" s="496"/>
      <c r="G285" s="496"/>
      <c r="H285" s="503">
        <f>SUM(A283:G283)+(SUM(A284:G284)+SUM(A285:G285))</f>
        <v>0</v>
      </c>
      <c r="I285" s="502"/>
    </row>
    <row r="286" spans="1:9" ht="15.75">
      <c r="A286" s="483"/>
      <c r="B286" s="483"/>
      <c r="C286" s="483"/>
      <c r="D286" s="483"/>
      <c r="E286" s="484"/>
      <c r="F286" s="484"/>
      <c r="G286" s="484"/>
      <c r="H286" s="487"/>
      <c r="I286" s="502"/>
    </row>
    <row r="287" spans="1:9" ht="15.75">
      <c r="A287" s="478"/>
      <c r="B287" s="475"/>
      <c r="C287" s="475"/>
      <c r="D287" s="475"/>
      <c r="E287" s="475"/>
      <c r="F287" s="475"/>
      <c r="G287" s="475"/>
      <c r="H287" s="501"/>
      <c r="I287" s="502"/>
    </row>
    <row r="288" spans="1:9" ht="15.75">
      <c r="A288" s="472" t="s">
        <v>316</v>
      </c>
      <c r="B288" s="472"/>
      <c r="C288" s="472"/>
      <c r="D288" s="475"/>
      <c r="E288" s="475"/>
      <c r="F288" s="475"/>
      <c r="G288" s="475"/>
      <c r="H288" s="501"/>
      <c r="I288" s="502"/>
    </row>
    <row r="289" spans="1:9" ht="15.75">
      <c r="A289" s="583"/>
      <c r="B289" s="584"/>
      <c r="C289" s="584"/>
      <c r="D289" s="584"/>
      <c r="E289" s="584"/>
      <c r="F289" s="584"/>
      <c r="G289" s="585"/>
      <c r="H289" s="501"/>
      <c r="I289" s="502"/>
    </row>
    <row r="290" spans="1:9" ht="15.75">
      <c r="A290" s="470" t="s">
        <v>305</v>
      </c>
      <c r="B290" s="471"/>
      <c r="C290" s="471"/>
      <c r="D290" s="479"/>
      <c r="E290" s="480"/>
      <c r="F290" s="480"/>
      <c r="G290" s="480"/>
      <c r="H290" s="505"/>
      <c r="I290" s="502"/>
    </row>
    <row r="291" spans="1:9" ht="15.75">
      <c r="A291" s="496"/>
      <c r="B291" s="496"/>
      <c r="C291" s="496"/>
      <c r="D291" s="496"/>
      <c r="E291" s="496"/>
      <c r="F291" s="496"/>
      <c r="G291" s="496"/>
      <c r="H291" s="487"/>
      <c r="I291" s="502"/>
    </row>
    <row r="292" spans="1:9" ht="15.75">
      <c r="A292" s="496"/>
      <c r="B292" s="496"/>
      <c r="C292" s="496"/>
      <c r="D292" s="496"/>
      <c r="E292" s="496"/>
      <c r="F292" s="496"/>
      <c r="G292" s="496"/>
      <c r="H292" s="487"/>
      <c r="I292" s="502"/>
    </row>
    <row r="293" spans="1:9" ht="15.75">
      <c r="A293" s="496"/>
      <c r="B293" s="496"/>
      <c r="C293" s="496"/>
      <c r="D293" s="496"/>
      <c r="E293" s="496"/>
      <c r="F293" s="496"/>
      <c r="G293" s="496"/>
      <c r="H293" s="503">
        <f>SUM(A291:G291)+(SUM(A292:G292)+SUM(A293:G293))</f>
        <v>0</v>
      </c>
      <c r="I293" s="504" t="str">
        <f>IF(AND(H293&gt;0,H293&lt;=95),"A",IF(AND(H293&gt;95,H293&lt;=110),"B",IF(AND(H293&gt;110,H293&lt;=130),"C",IF(AND(H293&gt;130,H293&lt;=160),"D",IF(H293&gt;160,"E","ND")))))</f>
        <v>ND</v>
      </c>
    </row>
    <row r="294" spans="1:9" ht="15.75">
      <c r="A294" s="483"/>
      <c r="B294" s="483"/>
      <c r="C294" s="483"/>
      <c r="D294" s="483"/>
      <c r="E294" s="484"/>
      <c r="F294" s="484"/>
      <c r="G294" s="484"/>
      <c r="H294" s="487"/>
      <c r="I294" s="502"/>
    </row>
    <row r="295" spans="1:9" ht="15.75">
      <c r="A295" s="470" t="s">
        <v>306</v>
      </c>
      <c r="B295" s="471"/>
      <c r="C295" s="471"/>
      <c r="D295" s="483"/>
      <c r="E295" s="484"/>
      <c r="F295" s="484"/>
      <c r="G295" s="484"/>
      <c r="H295" s="487"/>
      <c r="I295" s="502"/>
    </row>
    <row r="296" spans="1:9" ht="15.75">
      <c r="A296" s="496"/>
      <c r="B296" s="496"/>
      <c r="C296" s="496"/>
      <c r="D296" s="496"/>
      <c r="E296" s="496"/>
      <c r="F296" s="496"/>
      <c r="G296" s="496"/>
      <c r="H296" s="487"/>
      <c r="I296" s="502"/>
    </row>
    <row r="297" spans="1:9" ht="15.75">
      <c r="A297" s="496"/>
      <c r="B297" s="496"/>
      <c r="C297" s="496"/>
      <c r="D297" s="496"/>
      <c r="E297" s="496"/>
      <c r="F297" s="496"/>
      <c r="G297" s="496"/>
      <c r="H297" s="487"/>
      <c r="I297" s="502"/>
    </row>
    <row r="298" spans="1:9" ht="15.75">
      <c r="A298" s="496"/>
      <c r="B298" s="496"/>
      <c r="C298" s="496"/>
      <c r="D298" s="496"/>
      <c r="E298" s="496"/>
      <c r="F298" s="496"/>
      <c r="G298" s="496"/>
      <c r="H298" s="503">
        <f>SUM(A296:G296)+(SUM(A297:G297)+SUM(A298:G298))</f>
        <v>0</v>
      </c>
      <c r="I298" s="502"/>
    </row>
    <row r="299" spans="1:9" ht="15.75">
      <c r="A299" s="483"/>
      <c r="B299" s="483"/>
      <c r="C299" s="483"/>
      <c r="D299" s="483"/>
      <c r="E299" s="484"/>
      <c r="F299" s="484"/>
      <c r="G299" s="484"/>
      <c r="H299" s="487"/>
      <c r="I299" s="502"/>
    </row>
    <row r="300" spans="1:9" ht="15.75">
      <c r="A300" s="483"/>
      <c r="B300" s="483"/>
      <c r="C300" s="483"/>
      <c r="D300" s="483"/>
      <c r="E300" s="484"/>
      <c r="F300" s="484"/>
      <c r="G300" s="484"/>
      <c r="H300" s="487"/>
      <c r="I300" s="502"/>
    </row>
    <row r="301" spans="1:9" ht="15.75">
      <c r="A301" s="472" t="s">
        <v>317</v>
      </c>
      <c r="B301" s="472"/>
      <c r="C301" s="472"/>
      <c r="D301" s="485"/>
      <c r="E301" s="486"/>
      <c r="F301" s="486"/>
      <c r="G301" s="486"/>
      <c r="H301" s="487"/>
      <c r="I301" s="502"/>
    </row>
    <row r="302" spans="1:9" ht="15.75">
      <c r="A302" s="580"/>
      <c r="B302" s="581"/>
      <c r="C302" s="581"/>
      <c r="D302" s="581"/>
      <c r="E302" s="581"/>
      <c r="F302" s="581"/>
      <c r="G302" s="582"/>
      <c r="H302" s="487"/>
      <c r="I302" s="502"/>
    </row>
    <row r="303" spans="1:9" ht="15.75">
      <c r="A303" s="470" t="s">
        <v>305</v>
      </c>
      <c r="B303" s="471"/>
      <c r="C303" s="471"/>
      <c r="D303" s="479"/>
      <c r="E303" s="480"/>
      <c r="F303" s="480"/>
      <c r="G303" s="480"/>
      <c r="H303" s="505"/>
      <c r="I303" s="502"/>
    </row>
    <row r="304" spans="1:9" ht="15.75">
      <c r="A304" s="496"/>
      <c r="B304" s="496"/>
      <c r="C304" s="496"/>
      <c r="D304" s="496"/>
      <c r="E304" s="496"/>
      <c r="F304" s="496"/>
      <c r="G304" s="496"/>
      <c r="H304" s="487"/>
      <c r="I304" s="502"/>
    </row>
    <row r="305" spans="1:9" ht="15.75">
      <c r="A305" s="496"/>
      <c r="B305" s="496"/>
      <c r="C305" s="496"/>
      <c r="D305" s="496"/>
      <c r="E305" s="496"/>
      <c r="F305" s="496"/>
      <c r="G305" s="496"/>
      <c r="H305" s="487"/>
      <c r="I305" s="502"/>
    </row>
    <row r="306" spans="1:9" ht="15.75">
      <c r="A306" s="496"/>
      <c r="B306" s="496"/>
      <c r="C306" s="496"/>
      <c r="D306" s="496"/>
      <c r="E306" s="496"/>
      <c r="F306" s="496"/>
      <c r="G306" s="496"/>
      <c r="H306" s="503">
        <f>SUM(A304:G304)+(SUM(A305:G305)+SUM(A306:G306))</f>
        <v>0</v>
      </c>
      <c r="I306" s="504" t="str">
        <f>IF(AND(H306&gt;0,H306&lt;=95),"A",IF(AND(H306&gt;95,H306&lt;=110),"B",IF(AND(H306&gt;110,H306&lt;=130),"C",IF(AND(H306&gt;130,H306&lt;=160),"D",IF(H306&gt;160,"E","ND")))))</f>
        <v>ND</v>
      </c>
    </row>
    <row r="307" spans="1:9" ht="15.75">
      <c r="A307" s="483"/>
      <c r="B307" s="483"/>
      <c r="C307" s="483"/>
      <c r="D307" s="483"/>
      <c r="E307" s="484"/>
      <c r="F307" s="484"/>
      <c r="G307" s="484"/>
      <c r="H307" s="487"/>
      <c r="I307" s="502"/>
    </row>
    <row r="308" spans="1:9" ht="15.75">
      <c r="A308" s="470" t="s">
        <v>306</v>
      </c>
      <c r="B308" s="471"/>
      <c r="C308" s="471"/>
      <c r="D308" s="483"/>
      <c r="E308" s="484"/>
      <c r="F308" s="484"/>
      <c r="G308" s="484"/>
      <c r="H308" s="487"/>
      <c r="I308" s="502"/>
    </row>
    <row r="309" spans="1:9" ht="15.75">
      <c r="A309" s="496"/>
      <c r="B309" s="496"/>
      <c r="C309" s="496"/>
      <c r="D309" s="496"/>
      <c r="E309" s="496"/>
      <c r="F309" s="496"/>
      <c r="G309" s="496"/>
      <c r="H309" s="487"/>
      <c r="I309" s="502"/>
    </row>
    <row r="310" spans="1:9" ht="15.75">
      <c r="A310" s="496"/>
      <c r="B310" s="496"/>
      <c r="C310" s="496"/>
      <c r="D310" s="496"/>
      <c r="E310" s="496"/>
      <c r="F310" s="496"/>
      <c r="G310" s="496"/>
      <c r="H310" s="487"/>
      <c r="I310" s="502"/>
    </row>
    <row r="311" spans="1:9" ht="15.75">
      <c r="A311" s="496"/>
      <c r="B311" s="496"/>
      <c r="C311" s="496"/>
      <c r="D311" s="496"/>
      <c r="E311" s="496"/>
      <c r="F311" s="496"/>
      <c r="G311" s="496"/>
      <c r="H311" s="503">
        <f>SUM(A309:G309)+(SUM(A310:G310)+SUM(A311:G311))</f>
        <v>0</v>
      </c>
      <c r="I311" s="502"/>
    </row>
    <row r="312" spans="1:9" ht="15.75">
      <c r="A312" s="483"/>
      <c r="B312" s="483"/>
      <c r="C312" s="483"/>
      <c r="D312" s="483"/>
      <c r="E312" s="484"/>
      <c r="F312" s="484"/>
      <c r="G312" s="484"/>
      <c r="H312" s="487"/>
      <c r="I312" s="502"/>
    </row>
    <row r="313" spans="1:9" ht="15.75">
      <c r="A313" s="478"/>
      <c r="B313" s="475"/>
      <c r="C313" s="475"/>
      <c r="D313" s="475"/>
      <c r="E313" s="475"/>
      <c r="F313" s="475"/>
      <c r="G313" s="475"/>
      <c r="H313" s="501"/>
      <c r="I313" s="502"/>
    </row>
    <row r="314" spans="1:9" ht="15.75">
      <c r="A314" s="472" t="s">
        <v>318</v>
      </c>
      <c r="B314" s="472"/>
      <c r="C314" s="472"/>
      <c r="D314" s="475"/>
      <c r="E314" s="475"/>
      <c r="F314" s="475"/>
      <c r="G314" s="475"/>
      <c r="H314" s="501"/>
      <c r="I314" s="502"/>
    </row>
    <row r="315" spans="1:9" ht="15.75">
      <c r="A315" s="583"/>
      <c r="B315" s="584"/>
      <c r="C315" s="584"/>
      <c r="D315" s="584"/>
      <c r="E315" s="584"/>
      <c r="F315" s="584"/>
      <c r="G315" s="585"/>
      <c r="H315" s="501"/>
      <c r="I315" s="502"/>
    </row>
    <row r="316" spans="1:9" ht="15.75">
      <c r="A316" s="470" t="s">
        <v>305</v>
      </c>
      <c r="B316" s="471"/>
      <c r="C316" s="471"/>
      <c r="D316" s="479"/>
      <c r="E316" s="480"/>
      <c r="F316" s="480"/>
      <c r="G316" s="480"/>
      <c r="H316" s="505"/>
      <c r="I316" s="502"/>
    </row>
    <row r="317" spans="1:9" ht="15.75">
      <c r="A317" s="496"/>
      <c r="B317" s="496"/>
      <c r="C317" s="496"/>
      <c r="D317" s="496"/>
      <c r="E317" s="496"/>
      <c r="F317" s="496"/>
      <c r="G317" s="496"/>
      <c r="H317" s="487"/>
      <c r="I317" s="502"/>
    </row>
    <row r="318" spans="1:9" ht="15.75">
      <c r="A318" s="496"/>
      <c r="B318" s="496"/>
      <c r="C318" s="496"/>
      <c r="D318" s="496"/>
      <c r="E318" s="496"/>
      <c r="F318" s="496"/>
      <c r="G318" s="496"/>
      <c r="H318" s="487"/>
      <c r="I318" s="502"/>
    </row>
    <row r="319" spans="1:9" ht="15.75">
      <c r="A319" s="496"/>
      <c r="B319" s="496"/>
      <c r="C319" s="496"/>
      <c r="D319" s="496"/>
      <c r="E319" s="496"/>
      <c r="F319" s="496"/>
      <c r="G319" s="496"/>
      <c r="H319" s="503">
        <f>SUM(A317:G317)+(SUM(A318:G318)+SUM(A319:G319))</f>
        <v>0</v>
      </c>
      <c r="I319" s="504" t="str">
        <f>IF(AND(H319&gt;0,H319&lt;=95),"A",IF(AND(H319&gt;95,H319&lt;=110),"B",IF(AND(H319&gt;110,H319&lt;=130),"C",IF(AND(H319&gt;130,H319&lt;=160),"D",IF(H319&gt;160,"E","ND")))))</f>
        <v>ND</v>
      </c>
    </row>
    <row r="320" spans="1:9" ht="15.75">
      <c r="A320" s="483"/>
      <c r="B320" s="483"/>
      <c r="C320" s="483"/>
      <c r="D320" s="483"/>
      <c r="E320" s="484"/>
      <c r="F320" s="484"/>
      <c r="G320" s="484"/>
      <c r="H320" s="487"/>
      <c r="I320" s="502"/>
    </row>
    <row r="321" spans="1:9" ht="15.75">
      <c r="A321" s="470" t="s">
        <v>306</v>
      </c>
      <c r="B321" s="471"/>
      <c r="C321" s="471"/>
      <c r="D321" s="483"/>
      <c r="E321" s="484"/>
      <c r="F321" s="484"/>
      <c r="G321" s="484"/>
      <c r="H321" s="487"/>
      <c r="I321" s="502"/>
    </row>
    <row r="322" spans="1:9" ht="15.75">
      <c r="A322" s="496"/>
      <c r="B322" s="496"/>
      <c r="C322" s="496"/>
      <c r="D322" s="496"/>
      <c r="E322" s="496"/>
      <c r="F322" s="496"/>
      <c r="G322" s="496"/>
      <c r="H322" s="487"/>
      <c r="I322" s="502"/>
    </row>
    <row r="323" spans="1:9" ht="15.75">
      <c r="A323" s="496"/>
      <c r="B323" s="496"/>
      <c r="C323" s="496"/>
      <c r="D323" s="496"/>
      <c r="E323" s="496"/>
      <c r="F323" s="496"/>
      <c r="G323" s="496"/>
      <c r="H323" s="487"/>
      <c r="I323" s="502"/>
    </row>
    <row r="324" spans="1:9" ht="15.75">
      <c r="A324" s="496"/>
      <c r="B324" s="496"/>
      <c r="C324" s="496"/>
      <c r="D324" s="496"/>
      <c r="E324" s="496"/>
      <c r="F324" s="496"/>
      <c r="G324" s="496"/>
      <c r="H324" s="503">
        <f>SUM(A322:G322)+(SUM(A323:G323)+SUM(A324:G324))</f>
        <v>0</v>
      </c>
      <c r="I324" s="502"/>
    </row>
    <row r="325" spans="1:9" ht="15.75">
      <c r="A325" s="508"/>
      <c r="B325" s="508"/>
      <c r="C325" s="508"/>
      <c r="D325" s="508"/>
      <c r="E325" s="508"/>
      <c r="F325" s="508"/>
      <c r="G325" s="508"/>
      <c r="H325" s="509"/>
      <c r="I325" s="502"/>
    </row>
    <row r="326" spans="1:9" ht="15.75">
      <c r="A326" s="483"/>
      <c r="B326" s="483"/>
      <c r="C326" s="483"/>
      <c r="D326" s="483"/>
      <c r="E326" s="484"/>
      <c r="F326" s="484"/>
      <c r="G326" s="484"/>
      <c r="H326" s="487"/>
      <c r="I326" s="502"/>
    </row>
    <row r="327" spans="1:9" ht="15.75">
      <c r="A327" s="472" t="s">
        <v>319</v>
      </c>
      <c r="B327" s="472"/>
      <c r="C327" s="472"/>
      <c r="D327" s="485"/>
      <c r="E327" s="486"/>
      <c r="F327" s="486"/>
      <c r="G327" s="486"/>
      <c r="H327" s="487"/>
      <c r="I327" s="502"/>
    </row>
    <row r="328" spans="1:9" ht="15.75">
      <c r="A328" s="580"/>
      <c r="B328" s="581"/>
      <c r="C328" s="581"/>
      <c r="D328" s="581"/>
      <c r="E328" s="581"/>
      <c r="F328" s="581"/>
      <c r="G328" s="582"/>
      <c r="H328" s="487"/>
      <c r="I328" s="502"/>
    </row>
    <row r="329" spans="1:9" ht="15.75">
      <c r="A329" s="470" t="s">
        <v>305</v>
      </c>
      <c r="B329" s="471"/>
      <c r="C329" s="471"/>
      <c r="D329" s="479"/>
      <c r="E329" s="480"/>
      <c r="F329" s="480"/>
      <c r="G329" s="480"/>
      <c r="H329" s="505"/>
      <c r="I329" s="502"/>
    </row>
    <row r="330" spans="1:9" ht="15.75">
      <c r="A330" s="496"/>
      <c r="B330" s="496"/>
      <c r="C330" s="496"/>
      <c r="D330" s="496"/>
      <c r="E330" s="496"/>
      <c r="F330" s="496"/>
      <c r="G330" s="496"/>
      <c r="H330" s="487"/>
      <c r="I330" s="502"/>
    </row>
    <row r="331" spans="1:9" ht="15.75">
      <c r="A331" s="496"/>
      <c r="B331" s="496"/>
      <c r="C331" s="496"/>
      <c r="D331" s="496"/>
      <c r="E331" s="496"/>
      <c r="F331" s="496"/>
      <c r="G331" s="496"/>
      <c r="H331" s="487"/>
      <c r="I331" s="502"/>
    </row>
    <row r="332" spans="1:9" ht="15.75">
      <c r="A332" s="496"/>
      <c r="B332" s="496"/>
      <c r="C332" s="496"/>
      <c r="D332" s="496"/>
      <c r="E332" s="496"/>
      <c r="F332" s="496"/>
      <c r="G332" s="496"/>
      <c r="H332" s="503">
        <f>SUM(A330:G330)+(SUM(A331:G331)+SUM(A332:G332))</f>
        <v>0</v>
      </c>
      <c r="I332" s="504" t="str">
        <f>IF(AND(H332&gt;0,H332&lt;=95),"A",IF(AND(H332&gt;95,H332&lt;=110),"B",IF(AND(H332&gt;110,H332&lt;=130),"C",IF(AND(H332&gt;130,H332&lt;=160),"D",IF(H332&gt;160,"E","ND")))))</f>
        <v>ND</v>
      </c>
    </row>
    <row r="333" spans="1:9" ht="15.75">
      <c r="A333" s="483"/>
      <c r="B333" s="483"/>
      <c r="C333" s="483"/>
      <c r="D333" s="483"/>
      <c r="E333" s="484"/>
      <c r="F333" s="484"/>
      <c r="G333" s="484"/>
      <c r="H333" s="487"/>
      <c r="I333" s="502"/>
    </row>
    <row r="334" spans="1:9" ht="15.75">
      <c r="A334" s="470" t="s">
        <v>306</v>
      </c>
      <c r="B334" s="471"/>
      <c r="C334" s="471"/>
      <c r="D334" s="483"/>
      <c r="E334" s="484"/>
      <c r="F334" s="484"/>
      <c r="G334" s="484"/>
      <c r="H334" s="487"/>
      <c r="I334" s="502"/>
    </row>
    <row r="335" spans="1:9" ht="15.75">
      <c r="A335" s="496"/>
      <c r="B335" s="496"/>
      <c r="C335" s="496"/>
      <c r="D335" s="496"/>
      <c r="E335" s="496"/>
      <c r="F335" s="496"/>
      <c r="G335" s="496"/>
      <c r="H335" s="487"/>
      <c r="I335" s="502"/>
    </row>
    <row r="336" spans="1:9" ht="15.75">
      <c r="A336" s="496"/>
      <c r="B336" s="496"/>
      <c r="C336" s="496"/>
      <c r="D336" s="496"/>
      <c r="E336" s="496"/>
      <c r="F336" s="496"/>
      <c r="G336" s="496"/>
      <c r="H336" s="487"/>
      <c r="I336" s="502"/>
    </row>
    <row r="337" spans="1:9" ht="15.75">
      <c r="A337" s="496"/>
      <c r="B337" s="496"/>
      <c r="C337" s="496"/>
      <c r="D337" s="496"/>
      <c r="E337" s="496"/>
      <c r="F337" s="496"/>
      <c r="G337" s="496"/>
      <c r="H337" s="503">
        <f>SUM(A335:G335)+(SUM(A336:G336)+SUM(A337:G337))</f>
        <v>0</v>
      </c>
      <c r="I337" s="502"/>
    </row>
    <row r="338" spans="1:9" ht="15.75">
      <c r="A338" s="483"/>
      <c r="B338" s="483"/>
      <c r="C338" s="483"/>
      <c r="D338" s="483"/>
      <c r="E338" s="484"/>
      <c r="F338" s="484"/>
      <c r="G338" s="484"/>
      <c r="H338" s="487"/>
      <c r="I338" s="502"/>
    </row>
    <row r="339" spans="1:9" ht="15.75">
      <c r="A339" s="478"/>
      <c r="B339" s="475"/>
      <c r="C339" s="475"/>
      <c r="D339" s="475"/>
      <c r="E339" s="475"/>
      <c r="F339" s="475"/>
      <c r="G339" s="475"/>
      <c r="H339" s="501"/>
      <c r="I339" s="502"/>
    </row>
    <row r="340" spans="1:9" ht="15.75">
      <c r="A340" s="472" t="s">
        <v>320</v>
      </c>
      <c r="B340" s="472"/>
      <c r="C340" s="472"/>
      <c r="D340" s="475"/>
      <c r="E340" s="475"/>
      <c r="F340" s="475"/>
      <c r="G340" s="475"/>
      <c r="H340" s="501"/>
      <c r="I340" s="502"/>
    </row>
    <row r="341" spans="1:9" ht="15.75">
      <c r="A341" s="583"/>
      <c r="B341" s="584"/>
      <c r="C341" s="584"/>
      <c r="D341" s="584"/>
      <c r="E341" s="584"/>
      <c r="F341" s="584"/>
      <c r="G341" s="585"/>
      <c r="H341" s="501"/>
      <c r="I341" s="502"/>
    </row>
    <row r="342" spans="1:9" ht="15.75">
      <c r="A342" s="470" t="s">
        <v>305</v>
      </c>
      <c r="B342" s="471"/>
      <c r="C342" s="471"/>
      <c r="D342" s="479"/>
      <c r="E342" s="480"/>
      <c r="F342" s="480"/>
      <c r="G342" s="480"/>
      <c r="H342" s="505"/>
      <c r="I342" s="502"/>
    </row>
    <row r="343" spans="1:9" ht="15.75">
      <c r="A343" s="496"/>
      <c r="B343" s="496"/>
      <c r="C343" s="496"/>
      <c r="D343" s="496"/>
      <c r="E343" s="496"/>
      <c r="F343" s="496"/>
      <c r="G343" s="496"/>
      <c r="H343" s="487"/>
      <c r="I343" s="502"/>
    </row>
    <row r="344" spans="1:9" ht="15.75">
      <c r="A344" s="496"/>
      <c r="B344" s="496"/>
      <c r="C344" s="496"/>
      <c r="D344" s="496"/>
      <c r="E344" s="496"/>
      <c r="F344" s="496"/>
      <c r="G344" s="496"/>
      <c r="H344" s="487"/>
      <c r="I344" s="502"/>
    </row>
    <row r="345" spans="1:9" ht="15.75">
      <c r="A345" s="496"/>
      <c r="B345" s="496"/>
      <c r="C345" s="496"/>
      <c r="D345" s="496"/>
      <c r="E345" s="496"/>
      <c r="F345" s="496"/>
      <c r="G345" s="496"/>
      <c r="H345" s="503">
        <f>SUM(A343:G343)+(SUM(A344:G344)+SUM(A345:G345))</f>
        <v>0</v>
      </c>
      <c r="I345" s="504" t="str">
        <f>IF(AND(H345&gt;0,H345&lt;=95),"A",IF(AND(H345&gt;95,H345&lt;=110),"B",IF(AND(H345&gt;110,H345&lt;=130),"C",IF(AND(H345&gt;130,H345&lt;=160),"D",IF(H345&gt;160,"E","ND")))))</f>
        <v>ND</v>
      </c>
    </row>
    <row r="346" spans="1:9" ht="15.75">
      <c r="A346" s="483"/>
      <c r="B346" s="483"/>
      <c r="C346" s="483"/>
      <c r="D346" s="483"/>
      <c r="E346" s="484"/>
      <c r="F346" s="484"/>
      <c r="G346" s="484"/>
      <c r="H346" s="487"/>
      <c r="I346" s="502"/>
    </row>
    <row r="347" spans="1:9" ht="15.75">
      <c r="A347" s="470" t="s">
        <v>306</v>
      </c>
      <c r="B347" s="471"/>
      <c r="C347" s="471"/>
      <c r="D347" s="483"/>
      <c r="E347" s="484"/>
      <c r="F347" s="484"/>
      <c r="G347" s="484"/>
      <c r="H347" s="487"/>
      <c r="I347" s="502"/>
    </row>
    <row r="348" spans="1:9" ht="15.75">
      <c r="A348" s="496"/>
      <c r="B348" s="496"/>
      <c r="C348" s="496"/>
      <c r="D348" s="496"/>
      <c r="E348" s="496"/>
      <c r="F348" s="496"/>
      <c r="G348" s="496"/>
      <c r="H348" s="487"/>
      <c r="I348" s="502"/>
    </row>
    <row r="349" spans="1:9" ht="15.75">
      <c r="A349" s="496"/>
      <c r="B349" s="496"/>
      <c r="C349" s="496"/>
      <c r="D349" s="496"/>
      <c r="E349" s="496"/>
      <c r="F349" s="496"/>
      <c r="G349" s="496"/>
      <c r="H349" s="487"/>
      <c r="I349" s="502"/>
    </row>
    <row r="350" spans="1:9" ht="15.75">
      <c r="A350" s="496"/>
      <c r="B350" s="496"/>
      <c r="C350" s="496"/>
      <c r="D350" s="496"/>
      <c r="E350" s="496"/>
      <c r="F350" s="496"/>
      <c r="G350" s="496"/>
      <c r="H350" s="503">
        <f>SUM(A348:G348)+(SUM(A349:G349)+SUM(A350:G350))</f>
        <v>0</v>
      </c>
      <c r="I350" s="502"/>
    </row>
    <row r="351" spans="1:9" ht="15.75">
      <c r="A351" s="483"/>
      <c r="B351" s="483"/>
      <c r="C351" s="483"/>
      <c r="D351" s="483"/>
      <c r="E351" s="484"/>
      <c r="F351" s="484"/>
      <c r="G351" s="484"/>
      <c r="H351" s="487"/>
      <c r="I351" s="502"/>
    </row>
    <row r="352" spans="1:9" ht="15.75">
      <c r="A352" s="483"/>
      <c r="B352" s="483"/>
      <c r="C352" s="483"/>
      <c r="D352" s="483"/>
      <c r="E352" s="484"/>
      <c r="F352" s="484"/>
      <c r="G352" s="484"/>
      <c r="H352" s="487"/>
      <c r="I352" s="502"/>
    </row>
    <row r="353" spans="1:9" ht="15.75">
      <c r="A353" s="472" t="s">
        <v>321</v>
      </c>
      <c r="B353" s="472"/>
      <c r="C353" s="472"/>
      <c r="D353" s="485"/>
      <c r="E353" s="486"/>
      <c r="F353" s="486"/>
      <c r="G353" s="486"/>
      <c r="H353" s="487"/>
      <c r="I353" s="502"/>
    </row>
    <row r="354" spans="1:9" ht="15.75">
      <c r="A354" s="580"/>
      <c r="B354" s="581"/>
      <c r="C354" s="581"/>
      <c r="D354" s="581"/>
      <c r="E354" s="581"/>
      <c r="F354" s="581"/>
      <c r="G354" s="582"/>
      <c r="H354" s="487"/>
      <c r="I354" s="502"/>
    </row>
    <row r="355" spans="1:9" ht="15.75">
      <c r="A355" s="470" t="s">
        <v>305</v>
      </c>
      <c r="B355" s="471"/>
      <c r="C355" s="471"/>
      <c r="D355" s="479"/>
      <c r="E355" s="480"/>
      <c r="F355" s="480"/>
      <c r="G355" s="480"/>
      <c r="H355" s="505"/>
      <c r="I355" s="502"/>
    </row>
    <row r="356" spans="1:9" ht="15.75">
      <c r="A356" s="482"/>
      <c r="B356" s="482"/>
      <c r="C356" s="482"/>
      <c r="D356" s="482"/>
      <c r="E356" s="482"/>
      <c r="F356" s="482"/>
      <c r="G356" s="482"/>
      <c r="H356" s="487"/>
      <c r="I356" s="502"/>
    </row>
    <row r="357" spans="1:9" ht="15.75">
      <c r="A357" s="482"/>
      <c r="B357" s="482"/>
      <c r="C357" s="482"/>
      <c r="D357" s="482"/>
      <c r="E357" s="482"/>
      <c r="F357" s="482"/>
      <c r="G357" s="482"/>
      <c r="H357" s="487"/>
      <c r="I357" s="502"/>
    </row>
    <row r="358" spans="1:9" ht="15.75">
      <c r="A358" s="482"/>
      <c r="B358" s="482"/>
      <c r="C358" s="482"/>
      <c r="D358" s="482"/>
      <c r="E358" s="482"/>
      <c r="F358" s="482"/>
      <c r="G358" s="482"/>
      <c r="H358" s="503">
        <f>SUM(A356:G356)+(SUM(A357:G357)+SUM(A358:G358))</f>
        <v>0</v>
      </c>
      <c r="I358" s="504" t="str">
        <f>IF(AND(H358&gt;0,H358&lt;=95),"A",IF(AND(H358&gt;95,H358&lt;=110),"B",IF(AND(H358&gt;110,H358&lt;=130),"C",IF(AND(H358&gt;130,H358&lt;=160),"D",IF(H358&gt;160,"E","ND")))))</f>
        <v>ND</v>
      </c>
    </row>
    <row r="359" spans="1:9" ht="15.75">
      <c r="A359" s="483"/>
      <c r="B359" s="483"/>
      <c r="C359" s="483"/>
      <c r="D359" s="483"/>
      <c r="E359" s="484"/>
      <c r="F359" s="484"/>
      <c r="G359" s="484"/>
      <c r="H359" s="487"/>
      <c r="I359" s="502"/>
    </row>
    <row r="360" spans="1:9" ht="15.75">
      <c r="A360" s="470" t="s">
        <v>306</v>
      </c>
      <c r="B360" s="471"/>
      <c r="C360" s="471"/>
      <c r="D360" s="483"/>
      <c r="E360" s="484"/>
      <c r="F360" s="484"/>
      <c r="G360" s="484"/>
      <c r="H360" s="487"/>
      <c r="I360" s="502"/>
    </row>
    <row r="361" spans="1:9" ht="15.75">
      <c r="A361" s="482"/>
      <c r="B361" s="482"/>
      <c r="C361" s="482"/>
      <c r="D361" s="482"/>
      <c r="E361" s="482"/>
      <c r="F361" s="482"/>
      <c r="G361" s="482"/>
      <c r="H361" s="487"/>
      <c r="I361" s="502"/>
    </row>
    <row r="362" spans="1:9" ht="15.75">
      <c r="A362" s="482"/>
      <c r="B362" s="482"/>
      <c r="C362" s="482"/>
      <c r="D362" s="482"/>
      <c r="E362" s="482"/>
      <c r="F362" s="482"/>
      <c r="G362" s="482"/>
      <c r="H362" s="487"/>
      <c r="I362" s="502"/>
    </row>
    <row r="363" spans="1:9" ht="15.75">
      <c r="A363" s="482"/>
      <c r="B363" s="482"/>
      <c r="C363" s="482"/>
      <c r="D363" s="482"/>
      <c r="E363" s="482"/>
      <c r="F363" s="482"/>
      <c r="G363" s="482"/>
      <c r="H363" s="503">
        <f>SUM(A361:G361)+(SUM(A362:G362)+SUM(A363:G363))</f>
        <v>0</v>
      </c>
      <c r="I363" s="502"/>
    </row>
    <row r="364" spans="1:9" ht="15.75">
      <c r="A364" s="483"/>
      <c r="B364" s="483"/>
      <c r="C364" s="483"/>
      <c r="D364" s="483"/>
      <c r="E364" s="484"/>
      <c r="F364" s="484"/>
      <c r="G364" s="484"/>
      <c r="H364" s="487"/>
      <c r="I364" s="502"/>
    </row>
    <row r="365" spans="1:9" ht="15.75">
      <c r="A365" s="478"/>
      <c r="B365" s="475"/>
      <c r="C365" s="475"/>
      <c r="D365" s="475"/>
      <c r="E365" s="475"/>
      <c r="F365" s="475"/>
      <c r="G365" s="475"/>
      <c r="H365" s="501"/>
      <c r="I365" s="502"/>
    </row>
    <row r="366" spans="1:9" ht="15.75">
      <c r="A366" s="472" t="s">
        <v>322</v>
      </c>
      <c r="B366" s="472"/>
      <c r="C366" s="472"/>
      <c r="D366" s="475"/>
      <c r="E366" s="475"/>
      <c r="F366" s="475"/>
      <c r="G366" s="475"/>
      <c r="H366" s="501"/>
      <c r="I366" s="502"/>
    </row>
    <row r="367" spans="1:9" ht="15.75">
      <c r="A367" s="583"/>
      <c r="B367" s="584"/>
      <c r="C367" s="584"/>
      <c r="D367" s="584"/>
      <c r="E367" s="584"/>
      <c r="F367" s="584"/>
      <c r="G367" s="585"/>
      <c r="H367" s="501"/>
      <c r="I367" s="502"/>
    </row>
    <row r="368" spans="1:9" ht="15.75">
      <c r="A368" s="470" t="s">
        <v>305</v>
      </c>
      <c r="B368" s="471"/>
      <c r="C368" s="471"/>
      <c r="D368" s="479"/>
      <c r="E368" s="480"/>
      <c r="F368" s="480"/>
      <c r="G368" s="480"/>
      <c r="H368" s="505"/>
      <c r="I368" s="502"/>
    </row>
    <row r="369" spans="1:9" ht="15.75">
      <c r="A369" s="482"/>
      <c r="B369" s="482"/>
      <c r="C369" s="482"/>
      <c r="D369" s="482"/>
      <c r="E369" s="482"/>
      <c r="F369" s="482"/>
      <c r="G369" s="482"/>
      <c r="H369" s="487"/>
      <c r="I369" s="502"/>
    </row>
    <row r="370" spans="1:9" ht="15.75">
      <c r="A370" s="482"/>
      <c r="B370" s="482"/>
      <c r="C370" s="482"/>
      <c r="D370" s="482"/>
      <c r="E370" s="482"/>
      <c r="F370" s="482"/>
      <c r="G370" s="482"/>
      <c r="H370" s="487"/>
      <c r="I370" s="502"/>
    </row>
    <row r="371" spans="1:9" ht="15.75">
      <c r="A371" s="482"/>
      <c r="B371" s="482"/>
      <c r="C371" s="482"/>
      <c r="D371" s="482"/>
      <c r="E371" s="482"/>
      <c r="F371" s="482"/>
      <c r="G371" s="482"/>
      <c r="H371" s="503">
        <f>SUM(A369:G369)+(SUM(A370:G370)+SUM(A371:G371))</f>
        <v>0</v>
      </c>
      <c r="I371" s="504" t="str">
        <f>IF(AND(H371&gt;0,H371&lt;=95),"A",IF(AND(H371&gt;95,H371&lt;=110),"B",IF(AND(H371&gt;110,H371&lt;=130),"C",IF(AND(H371&gt;130,H371&lt;=160),"D",IF(H371&gt;160,"E","ND")))))</f>
        <v>ND</v>
      </c>
    </row>
    <row r="372" spans="1:9" ht="15.75">
      <c r="A372" s="483"/>
      <c r="B372" s="483"/>
      <c r="C372" s="483"/>
      <c r="D372" s="483"/>
      <c r="E372" s="484"/>
      <c r="F372" s="484"/>
      <c r="G372" s="484"/>
      <c r="H372" s="487"/>
      <c r="I372" s="502"/>
    </row>
    <row r="373" spans="1:9" ht="15.75">
      <c r="A373" s="470" t="s">
        <v>306</v>
      </c>
      <c r="B373" s="471"/>
      <c r="C373" s="471"/>
      <c r="D373" s="483"/>
      <c r="E373" s="484"/>
      <c r="F373" s="484"/>
      <c r="G373" s="484"/>
      <c r="H373" s="487"/>
      <c r="I373" s="502"/>
    </row>
    <row r="374" spans="1:9" ht="15.75">
      <c r="A374" s="482"/>
      <c r="B374" s="482"/>
      <c r="C374" s="482"/>
      <c r="D374" s="482"/>
      <c r="E374" s="482"/>
      <c r="F374" s="482"/>
      <c r="G374" s="482"/>
      <c r="H374" s="487"/>
      <c r="I374" s="502"/>
    </row>
    <row r="375" spans="1:9" ht="15.75">
      <c r="A375" s="482"/>
      <c r="B375" s="482"/>
      <c r="C375" s="482"/>
      <c r="D375" s="482"/>
      <c r="E375" s="482"/>
      <c r="F375" s="482"/>
      <c r="G375" s="482"/>
      <c r="H375" s="487"/>
      <c r="I375" s="502"/>
    </row>
    <row r="376" spans="1:9" ht="15.75">
      <c r="A376" s="482"/>
      <c r="B376" s="482"/>
      <c r="C376" s="482"/>
      <c r="D376" s="482"/>
      <c r="E376" s="482"/>
      <c r="F376" s="482"/>
      <c r="G376" s="482"/>
      <c r="H376" s="503">
        <f>SUM(A374:G374)+(SUM(A375:G375)+SUM(A376:G376))</f>
        <v>0</v>
      </c>
      <c r="I376" s="502"/>
    </row>
    <row r="377" spans="1:9" ht="15.75">
      <c r="A377" s="483"/>
      <c r="B377" s="483"/>
      <c r="C377" s="483"/>
      <c r="D377" s="483"/>
      <c r="E377" s="484"/>
      <c r="F377" s="484"/>
      <c r="G377" s="484"/>
      <c r="H377" s="487"/>
      <c r="I377" s="502"/>
    </row>
    <row r="378" spans="1:9" ht="15.75">
      <c r="A378" s="483"/>
      <c r="B378" s="483"/>
      <c r="C378" s="483"/>
      <c r="D378" s="483"/>
      <c r="E378" s="484"/>
      <c r="F378" s="484"/>
      <c r="G378" s="484"/>
      <c r="H378" s="487"/>
      <c r="I378" s="502"/>
    </row>
    <row r="379" spans="1:9" ht="15.75">
      <c r="A379" s="472" t="s">
        <v>323</v>
      </c>
      <c r="B379" s="472"/>
      <c r="C379" s="472"/>
      <c r="D379" s="485"/>
      <c r="E379" s="486"/>
      <c r="F379" s="486"/>
      <c r="G379" s="486"/>
      <c r="H379" s="487"/>
      <c r="I379" s="502"/>
    </row>
    <row r="380" spans="1:9" ht="15.75">
      <c r="A380" s="580"/>
      <c r="B380" s="581"/>
      <c r="C380" s="581"/>
      <c r="D380" s="581"/>
      <c r="E380" s="581"/>
      <c r="F380" s="581"/>
      <c r="G380" s="582"/>
      <c r="H380" s="487"/>
      <c r="I380" s="502"/>
    </row>
    <row r="381" spans="1:9" ht="15.75">
      <c r="A381" s="470" t="s">
        <v>305</v>
      </c>
      <c r="B381" s="471"/>
      <c r="C381" s="471"/>
      <c r="D381" s="479"/>
      <c r="E381" s="480"/>
      <c r="F381" s="480"/>
      <c r="G381" s="480"/>
      <c r="H381" s="505"/>
      <c r="I381" s="502"/>
    </row>
    <row r="382" spans="1:9" ht="15.75">
      <c r="A382" s="482"/>
      <c r="B382" s="482"/>
      <c r="C382" s="482"/>
      <c r="D382" s="482"/>
      <c r="E382" s="482"/>
      <c r="F382" s="482"/>
      <c r="G382" s="482"/>
      <c r="H382" s="487"/>
      <c r="I382" s="502"/>
    </row>
    <row r="383" spans="1:9" ht="15.75">
      <c r="A383" s="482"/>
      <c r="B383" s="482"/>
      <c r="C383" s="482"/>
      <c r="D383" s="482"/>
      <c r="E383" s="482"/>
      <c r="F383" s="482"/>
      <c r="G383" s="482"/>
      <c r="H383" s="487"/>
      <c r="I383" s="502"/>
    </row>
    <row r="384" spans="1:9" ht="15.75">
      <c r="A384" s="482"/>
      <c r="B384" s="482"/>
      <c r="C384" s="482"/>
      <c r="D384" s="482"/>
      <c r="E384" s="482"/>
      <c r="F384" s="482"/>
      <c r="G384" s="482"/>
      <c r="H384" s="503">
        <f>SUM(A382:G382)+(SUM(A383:G383)+SUM(A384:G384))</f>
        <v>0</v>
      </c>
      <c r="I384" s="504" t="str">
        <f>IF(AND(H384&gt;0,H384&lt;=95),"A",IF(AND(H384&gt;95,H384&lt;=110),"B",IF(AND(H384&gt;110,H384&lt;=130),"C",IF(AND(H384&gt;130,H384&lt;=160),"D",IF(H384&gt;160,"E","ND")))))</f>
        <v>ND</v>
      </c>
    </row>
    <row r="385" spans="1:9" ht="15.75">
      <c r="A385" s="483"/>
      <c r="B385" s="483"/>
      <c r="C385" s="483"/>
      <c r="D385" s="483"/>
      <c r="E385" s="484"/>
      <c r="F385" s="484"/>
      <c r="G385" s="484"/>
      <c r="H385" s="487"/>
      <c r="I385" s="502"/>
    </row>
    <row r="386" spans="1:9" ht="15.75">
      <c r="A386" s="470" t="s">
        <v>306</v>
      </c>
      <c r="B386" s="471"/>
      <c r="C386" s="471"/>
      <c r="D386" s="483"/>
      <c r="E386" s="484"/>
      <c r="F386" s="484"/>
      <c r="G386" s="484"/>
      <c r="H386" s="487"/>
      <c r="I386" s="502"/>
    </row>
    <row r="387" spans="1:9" ht="15.75">
      <c r="A387" s="482"/>
      <c r="B387" s="482"/>
      <c r="C387" s="482"/>
      <c r="D387" s="482"/>
      <c r="E387" s="482"/>
      <c r="F387" s="482"/>
      <c r="G387" s="482"/>
      <c r="H387" s="487"/>
      <c r="I387" s="502"/>
    </row>
    <row r="388" spans="1:9" ht="15.75">
      <c r="A388" s="482"/>
      <c r="B388" s="482"/>
      <c r="C388" s="482"/>
      <c r="D388" s="482"/>
      <c r="E388" s="482"/>
      <c r="F388" s="482"/>
      <c r="G388" s="482"/>
      <c r="H388" s="487"/>
      <c r="I388" s="502"/>
    </row>
    <row r="389" spans="1:9" ht="15.75">
      <c r="A389" s="482"/>
      <c r="B389" s="482"/>
      <c r="C389" s="482"/>
      <c r="D389" s="482"/>
      <c r="E389" s="482"/>
      <c r="F389" s="482"/>
      <c r="G389" s="482"/>
      <c r="H389" s="503">
        <f>SUM(A387:G387)+(SUM(A388:G388)+SUM(A389:G389))</f>
        <v>0</v>
      </c>
      <c r="I389" s="502"/>
    </row>
    <row r="390" spans="1:9" ht="15.75">
      <c r="A390" s="483"/>
      <c r="B390" s="483"/>
      <c r="C390" s="483"/>
      <c r="D390" s="483"/>
      <c r="E390" s="484"/>
      <c r="F390" s="484"/>
      <c r="G390" s="484"/>
      <c r="H390" s="487"/>
      <c r="I390" s="502"/>
    </row>
    <row r="391" spans="1:9" ht="15.75">
      <c r="A391" s="478"/>
      <c r="B391" s="475"/>
      <c r="C391" s="475"/>
      <c r="D391" s="475"/>
      <c r="E391" s="475"/>
      <c r="F391" s="475"/>
      <c r="G391" s="475"/>
      <c r="H391" s="501"/>
      <c r="I391" s="502"/>
    </row>
    <row r="392" spans="1:9" ht="15.75">
      <c r="A392" s="472" t="s">
        <v>324</v>
      </c>
      <c r="B392" s="472"/>
      <c r="C392" s="472"/>
      <c r="D392" s="475"/>
      <c r="E392" s="475"/>
      <c r="F392" s="475"/>
      <c r="G392" s="475"/>
      <c r="H392" s="501"/>
      <c r="I392" s="502"/>
    </row>
    <row r="393" spans="1:9" ht="15.75">
      <c r="A393" s="583"/>
      <c r="B393" s="584"/>
      <c r="C393" s="584"/>
      <c r="D393" s="584"/>
      <c r="E393" s="584"/>
      <c r="F393" s="584"/>
      <c r="G393" s="585"/>
      <c r="H393" s="501"/>
      <c r="I393" s="502"/>
    </row>
    <row r="394" spans="1:9" ht="15.75">
      <c r="A394" s="470" t="s">
        <v>305</v>
      </c>
      <c r="B394" s="471"/>
      <c r="C394" s="471"/>
      <c r="D394" s="479"/>
      <c r="E394" s="480"/>
      <c r="F394" s="480"/>
      <c r="G394" s="480"/>
      <c r="H394" s="505"/>
      <c r="I394" s="502"/>
    </row>
    <row r="395" spans="1:9" ht="15.75">
      <c r="A395" s="482"/>
      <c r="B395" s="482"/>
      <c r="C395" s="482"/>
      <c r="D395" s="482"/>
      <c r="E395" s="482"/>
      <c r="F395" s="482"/>
      <c r="G395" s="482"/>
      <c r="H395" s="487"/>
      <c r="I395" s="502"/>
    </row>
    <row r="396" spans="1:9" ht="15.75">
      <c r="A396" s="482"/>
      <c r="B396" s="482"/>
      <c r="C396" s="482"/>
      <c r="D396" s="482"/>
      <c r="E396" s="482"/>
      <c r="F396" s="482"/>
      <c r="G396" s="482"/>
      <c r="H396" s="487"/>
      <c r="I396" s="502"/>
    </row>
    <row r="397" spans="1:9" ht="15.75">
      <c r="A397" s="482"/>
      <c r="B397" s="482"/>
      <c r="C397" s="482"/>
      <c r="D397" s="482"/>
      <c r="E397" s="482"/>
      <c r="F397" s="482"/>
      <c r="G397" s="482"/>
      <c r="H397" s="503">
        <f>SUM(A395:G395)+(SUM(A396:G396)+SUM(A397:G397))</f>
        <v>0</v>
      </c>
      <c r="I397" s="504" t="str">
        <f>IF(AND(H397&gt;0,H397&lt;=95),"A",IF(AND(H397&gt;95,H397&lt;=110),"B",IF(AND(H397&gt;110,H397&lt;=130),"C",IF(AND(H397&gt;130,H397&lt;=160),"D",IF(H397&gt;160,"E","ND")))))</f>
        <v>ND</v>
      </c>
    </row>
    <row r="398" spans="1:9" ht="15.75">
      <c r="A398" s="483"/>
      <c r="B398" s="483"/>
      <c r="C398" s="483"/>
      <c r="D398" s="483"/>
      <c r="E398" s="484"/>
      <c r="F398" s="484"/>
      <c r="G398" s="484"/>
      <c r="H398" s="487"/>
      <c r="I398" s="502"/>
    </row>
    <row r="399" spans="1:9" ht="15.75">
      <c r="A399" s="470" t="s">
        <v>306</v>
      </c>
      <c r="B399" s="471"/>
      <c r="C399" s="471"/>
      <c r="D399" s="483"/>
      <c r="E399" s="484"/>
      <c r="F399" s="484"/>
      <c r="G399" s="484"/>
      <c r="H399" s="487"/>
      <c r="I399" s="502"/>
    </row>
    <row r="400" spans="1:9" ht="15.75">
      <c r="A400" s="482"/>
      <c r="B400" s="482"/>
      <c r="C400" s="482"/>
      <c r="D400" s="482"/>
      <c r="E400" s="482"/>
      <c r="F400" s="482"/>
      <c r="G400" s="482"/>
      <c r="H400" s="487"/>
      <c r="I400" s="502"/>
    </row>
    <row r="401" spans="1:9" ht="15.75">
      <c r="A401" s="482"/>
      <c r="B401" s="482"/>
      <c r="C401" s="482"/>
      <c r="D401" s="482"/>
      <c r="E401" s="482"/>
      <c r="F401" s="482"/>
      <c r="G401" s="482"/>
      <c r="H401" s="487"/>
      <c r="I401" s="502"/>
    </row>
    <row r="402" spans="1:9" ht="15.75">
      <c r="A402" s="482"/>
      <c r="B402" s="482"/>
      <c r="C402" s="482"/>
      <c r="D402" s="482"/>
      <c r="E402" s="482"/>
      <c r="F402" s="482"/>
      <c r="G402" s="482"/>
      <c r="H402" s="503">
        <f>SUM(A400:G400)+(SUM(A401:G401)+SUM(A402:G402))</f>
        <v>0</v>
      </c>
      <c r="I402" s="502"/>
    </row>
    <row r="403" spans="1:9" ht="15.75">
      <c r="A403" s="483"/>
      <c r="B403" s="483"/>
      <c r="C403" s="483"/>
      <c r="D403" s="483"/>
      <c r="E403" s="484"/>
      <c r="F403" s="484"/>
      <c r="G403" s="484"/>
      <c r="H403" s="487"/>
      <c r="I403" s="502"/>
    </row>
    <row r="404" spans="1:9" ht="15.75">
      <c r="A404" s="483"/>
      <c r="B404" s="483"/>
      <c r="C404" s="483"/>
      <c r="D404" s="483"/>
      <c r="E404" s="484"/>
      <c r="F404" s="484"/>
      <c r="G404" s="484"/>
      <c r="H404" s="487"/>
      <c r="I404" s="502"/>
    </row>
    <row r="405" spans="1:9" ht="15.75">
      <c r="A405" s="472" t="s">
        <v>325</v>
      </c>
      <c r="B405" s="472"/>
      <c r="C405" s="472"/>
      <c r="D405" s="485"/>
      <c r="E405" s="486"/>
      <c r="F405" s="486"/>
      <c r="G405" s="486"/>
      <c r="H405" s="487"/>
      <c r="I405" s="502"/>
    </row>
    <row r="406" spans="1:9" ht="15.75">
      <c r="A406" s="580"/>
      <c r="B406" s="581"/>
      <c r="C406" s="581"/>
      <c r="D406" s="581"/>
      <c r="E406" s="581"/>
      <c r="F406" s="581"/>
      <c r="G406" s="582"/>
      <c r="H406" s="487"/>
      <c r="I406" s="502"/>
    </row>
    <row r="407" spans="1:9" ht="15.75">
      <c r="A407" s="470" t="s">
        <v>305</v>
      </c>
      <c r="B407" s="471"/>
      <c r="C407" s="471"/>
      <c r="D407" s="479"/>
      <c r="E407" s="480"/>
      <c r="F407" s="480"/>
      <c r="G407" s="480"/>
      <c r="H407" s="505"/>
      <c r="I407" s="502"/>
    </row>
    <row r="408" spans="1:9" ht="15.75">
      <c r="A408" s="482"/>
      <c r="B408" s="482"/>
      <c r="C408" s="482"/>
      <c r="D408" s="482"/>
      <c r="E408" s="482"/>
      <c r="F408" s="482"/>
      <c r="G408" s="482"/>
      <c r="H408" s="487"/>
      <c r="I408" s="502"/>
    </row>
    <row r="409" spans="1:9" ht="15.75">
      <c r="A409" s="482"/>
      <c r="B409" s="482"/>
      <c r="C409" s="482"/>
      <c r="D409" s="482"/>
      <c r="E409" s="482"/>
      <c r="F409" s="482"/>
      <c r="G409" s="482"/>
      <c r="H409" s="487"/>
      <c r="I409" s="502"/>
    </row>
    <row r="410" spans="1:9" ht="15.75">
      <c r="A410" s="482"/>
      <c r="B410" s="482"/>
      <c r="C410" s="482"/>
      <c r="D410" s="482"/>
      <c r="E410" s="482"/>
      <c r="F410" s="482"/>
      <c r="G410" s="482"/>
      <c r="H410" s="503">
        <f>SUM(A408:G408)+(SUM(A409:G409)+SUM(A410:G410))</f>
        <v>0</v>
      </c>
      <c r="I410" s="504" t="str">
        <f>IF(AND(H410&gt;0,H410&lt;=95),"A",IF(AND(H410&gt;95,H410&lt;=110),"B",IF(AND(H410&gt;110,H410&lt;=130),"C",IF(AND(H410&gt;130,H410&lt;=160),"D",IF(H410&gt;160,"E","ND")))))</f>
        <v>ND</v>
      </c>
    </row>
    <row r="411" spans="1:9" ht="15.75">
      <c r="A411" s="483"/>
      <c r="B411" s="483"/>
      <c r="C411" s="483"/>
      <c r="D411" s="483"/>
      <c r="E411" s="484"/>
      <c r="F411" s="484"/>
      <c r="G411" s="484"/>
      <c r="H411" s="487"/>
      <c r="I411" s="502"/>
    </row>
    <row r="412" spans="1:9" ht="15.75">
      <c r="A412" s="470" t="s">
        <v>306</v>
      </c>
      <c r="B412" s="471"/>
      <c r="C412" s="471"/>
      <c r="D412" s="483"/>
      <c r="E412" s="484"/>
      <c r="F412" s="484"/>
      <c r="G412" s="484"/>
      <c r="H412" s="487"/>
      <c r="I412" s="502"/>
    </row>
    <row r="413" spans="1:9" ht="15.75">
      <c r="A413" s="482"/>
      <c r="B413" s="482"/>
      <c r="C413" s="482"/>
      <c r="D413" s="482"/>
      <c r="E413" s="482"/>
      <c r="F413" s="482"/>
      <c r="G413" s="482"/>
      <c r="H413" s="487"/>
      <c r="I413" s="502"/>
    </row>
    <row r="414" spans="1:9" ht="15.75">
      <c r="A414" s="482"/>
      <c r="B414" s="482"/>
      <c r="C414" s="482"/>
      <c r="D414" s="482"/>
      <c r="E414" s="482"/>
      <c r="F414" s="482"/>
      <c r="G414" s="482"/>
      <c r="H414" s="487"/>
      <c r="I414" s="502"/>
    </row>
    <row r="415" spans="1:9" ht="15.75">
      <c r="A415" s="482"/>
      <c r="B415" s="482"/>
      <c r="C415" s="482"/>
      <c r="D415" s="482"/>
      <c r="E415" s="482"/>
      <c r="F415" s="482"/>
      <c r="G415" s="482"/>
      <c r="H415" s="503">
        <f>SUM(A413:G413)+(SUM(A414:G414)+SUM(A415:G415))</f>
        <v>0</v>
      </c>
      <c r="I415" s="502"/>
    </row>
    <row r="416" spans="1:9" ht="12.75">
      <c r="A416" s="483"/>
      <c r="B416" s="483"/>
      <c r="C416" s="483"/>
      <c r="D416" s="483"/>
      <c r="E416" s="484"/>
      <c r="F416" s="484"/>
      <c r="G416" s="484"/>
      <c r="H416" s="476"/>
      <c r="I416" s="477"/>
    </row>
    <row r="417" spans="1:9" ht="12.75">
      <c r="A417" s="483"/>
      <c r="B417" s="483"/>
      <c r="C417" s="483"/>
      <c r="D417" s="483"/>
      <c r="E417" s="484"/>
      <c r="F417" s="484"/>
      <c r="G417" s="484"/>
      <c r="H417" s="476"/>
      <c r="I417" s="477"/>
    </row>
    <row r="418" spans="1:9" ht="12.75">
      <c r="A418" s="483"/>
      <c r="B418" s="483"/>
      <c r="C418" s="483"/>
      <c r="D418" s="483"/>
      <c r="E418" s="484"/>
      <c r="F418" s="484"/>
      <c r="G418" s="484"/>
      <c r="H418" s="476"/>
      <c r="I418" s="477"/>
    </row>
    <row r="419" spans="1:9" ht="12.75">
      <c r="A419" s="483"/>
      <c r="B419" s="483"/>
      <c r="C419" s="483"/>
      <c r="D419" s="483"/>
      <c r="E419" s="484"/>
      <c r="F419" s="484"/>
      <c r="G419" s="484"/>
      <c r="H419" s="476"/>
      <c r="I419" s="477"/>
    </row>
    <row r="420" spans="1:9" ht="15.75">
      <c r="A420" s="594" t="s">
        <v>305</v>
      </c>
      <c r="B420" s="594"/>
      <c r="C420" s="594"/>
      <c r="D420" s="497" t="s">
        <v>326</v>
      </c>
      <c r="E420" s="498">
        <f>H163+H176+H189+H202+H215+H228+H241+H254+H267+H280+H293+H306+H319+H332+H345+H358+H371+H384+H397+H410</f>
        <v>0</v>
      </c>
      <c r="F420" s="484"/>
      <c r="G420" s="484"/>
      <c r="H420" s="476"/>
      <c r="I420" s="477"/>
    </row>
    <row r="421" spans="1:9" ht="15.75">
      <c r="A421" s="486"/>
      <c r="B421" s="486"/>
      <c r="C421" s="486"/>
      <c r="D421" s="488"/>
      <c r="E421" s="489"/>
      <c r="F421" s="484"/>
      <c r="G421" s="484"/>
      <c r="H421" s="476"/>
      <c r="I421" s="477"/>
    </row>
    <row r="422" spans="1:9" ht="15.75">
      <c r="A422" s="594" t="s">
        <v>306</v>
      </c>
      <c r="B422" s="594"/>
      <c r="C422" s="594"/>
      <c r="D422" s="497" t="s">
        <v>326</v>
      </c>
      <c r="E422" s="498">
        <f>+H156+H168+H181+H194+H207+H220+H233+H246+H259+H272+H285+H298+H311+H324+H337+H350+H363+H376+H389+H402+H415</f>
        <v>0</v>
      </c>
      <c r="F422" s="484"/>
      <c r="G422" s="484"/>
      <c r="H422" s="476"/>
      <c r="I422" s="477"/>
    </row>
    <row r="423" spans="1:9" ht="15.75">
      <c r="A423" s="486"/>
      <c r="B423" s="486"/>
      <c r="C423" s="486"/>
      <c r="D423" s="488"/>
      <c r="E423" s="487"/>
      <c r="F423" s="484"/>
      <c r="G423" s="484"/>
      <c r="H423" s="476"/>
      <c r="I423" s="477"/>
    </row>
    <row r="424" spans="1:9" ht="15">
      <c r="A424" s="595"/>
      <c r="B424" s="595"/>
      <c r="C424" s="595" t="s">
        <v>334</v>
      </c>
      <c r="D424" s="595"/>
      <c r="E424" s="499"/>
      <c r="F424" s="499" t="s">
        <v>327</v>
      </c>
      <c r="G424" s="484"/>
      <c r="H424" s="476"/>
      <c r="I424" s="477"/>
    </row>
    <row r="425" spans="1:9" ht="15.75">
      <c r="A425" s="596"/>
      <c r="B425" s="596"/>
      <c r="C425" s="597" t="s">
        <v>328</v>
      </c>
      <c r="D425" s="597"/>
      <c r="E425" s="510">
        <f>COUNTIF(I163:I410,"A")</f>
        <v>0</v>
      </c>
      <c r="F425" s="511">
        <f>SUMIF(I163:I410,"A",H163:H410)</f>
        <v>0</v>
      </c>
      <c r="G425" s="484"/>
      <c r="H425" s="476"/>
      <c r="I425" s="477"/>
    </row>
    <row r="426" spans="1:9" ht="15.75">
      <c r="A426" s="596"/>
      <c r="B426" s="596"/>
      <c r="C426" s="597" t="s">
        <v>329</v>
      </c>
      <c r="D426" s="597"/>
      <c r="E426" s="510">
        <f>COUNTIF(I163:I410,"B")</f>
        <v>0</v>
      </c>
      <c r="F426" s="511">
        <f>SUMIF(I163:I410,"B",H163:H410)</f>
        <v>0</v>
      </c>
      <c r="G426" s="484"/>
      <c r="H426" s="476"/>
      <c r="I426" s="477"/>
    </row>
    <row r="427" spans="1:9" ht="15.75">
      <c r="A427" s="596"/>
      <c r="B427" s="596"/>
      <c r="C427" s="597" t="s">
        <v>330</v>
      </c>
      <c r="D427" s="597"/>
      <c r="E427" s="510">
        <f>COUNTIF(I163:I410,"C")</f>
        <v>0</v>
      </c>
      <c r="F427" s="511">
        <f>SUMIF(I163:I410,"C",H163:H410)</f>
        <v>0</v>
      </c>
      <c r="G427" s="484"/>
      <c r="H427" s="476"/>
      <c r="I427" s="477"/>
    </row>
    <row r="428" spans="1:9" ht="15.75">
      <c r="A428" s="592"/>
      <c r="B428" s="592"/>
      <c r="C428" s="613" t="s">
        <v>331</v>
      </c>
      <c r="D428" s="613"/>
      <c r="E428" s="510">
        <v>0</v>
      </c>
      <c r="F428" s="511">
        <f>SUMIF(I163:I410,"D",H163:H410)</f>
        <v>0</v>
      </c>
      <c r="G428" s="486"/>
      <c r="H428" s="487"/>
      <c r="I428" s="477"/>
    </row>
    <row r="429" spans="1:9" ht="15.75">
      <c r="A429" s="592"/>
      <c r="B429" s="592"/>
      <c r="C429" s="613" t="s">
        <v>332</v>
      </c>
      <c r="D429" s="613"/>
      <c r="E429" s="510">
        <f>COUNTIF(I163:I410,"E")</f>
        <v>0</v>
      </c>
      <c r="F429" s="511">
        <f>SUMIF(I163:I410,"E",H163:H410)</f>
        <v>0</v>
      </c>
      <c r="G429" s="480"/>
      <c r="H429" s="481"/>
      <c r="I429" s="477"/>
    </row>
    <row r="430" spans="1:9" ht="12.75">
      <c r="A430" s="475"/>
      <c r="B430" s="475"/>
      <c r="C430" s="475"/>
      <c r="D430" s="475"/>
      <c r="E430" s="475"/>
      <c r="F430" s="475"/>
      <c r="G430" s="475"/>
      <c r="H430" s="475"/>
      <c r="I430" s="477"/>
    </row>
    <row r="431" spans="1:9" ht="12.75">
      <c r="A431" s="475"/>
      <c r="B431" s="475"/>
      <c r="C431" s="475"/>
      <c r="D431" s="475"/>
      <c r="E431" s="475"/>
      <c r="F431" s="475"/>
      <c r="G431" s="475"/>
      <c r="H431" s="475"/>
      <c r="I431" s="477"/>
    </row>
    <row r="432" spans="1:9" ht="12.75">
      <c r="A432" s="475"/>
      <c r="B432" s="475"/>
      <c r="C432" s="475"/>
      <c r="D432" s="475"/>
      <c r="E432" s="475"/>
      <c r="F432" s="475"/>
      <c r="G432" s="475"/>
      <c r="H432" s="475"/>
      <c r="I432" s="477"/>
    </row>
    <row r="433" spans="1:9" ht="12.75">
      <c r="A433" s="475"/>
      <c r="B433" s="475"/>
      <c r="C433" s="475"/>
      <c r="D433" s="475"/>
      <c r="E433" s="475"/>
      <c r="F433" s="475"/>
      <c r="G433" s="475"/>
      <c r="H433" s="475"/>
      <c r="I433" s="477"/>
    </row>
    <row r="434" spans="1:9" ht="12.75">
      <c r="A434" s="475"/>
      <c r="B434" s="475"/>
      <c r="C434" s="475"/>
      <c r="D434" s="475"/>
      <c r="E434" s="475"/>
      <c r="F434" s="475"/>
      <c r="G434" s="475"/>
      <c r="H434" s="475"/>
      <c r="I434" s="477"/>
    </row>
    <row r="435" spans="1:9" ht="12.75">
      <c r="A435" s="475"/>
      <c r="B435" s="475"/>
      <c r="C435" s="475"/>
      <c r="D435" s="475"/>
      <c r="E435" s="475"/>
      <c r="F435" s="475"/>
      <c r="G435" s="475"/>
      <c r="H435" s="475"/>
      <c r="I435" s="477"/>
    </row>
    <row r="436" spans="1:9" ht="12.75">
      <c r="A436" s="475"/>
      <c r="B436" s="475"/>
      <c r="C436" s="475"/>
      <c r="D436" s="475"/>
      <c r="E436" s="475"/>
      <c r="F436" s="475"/>
      <c r="G436" s="475"/>
      <c r="H436" s="475"/>
      <c r="I436" s="477"/>
    </row>
    <row r="437" spans="1:9" ht="12.75">
      <c r="A437" s="475"/>
      <c r="B437" s="475"/>
      <c r="C437" s="475"/>
      <c r="D437" s="475"/>
      <c r="E437" s="475"/>
      <c r="F437" s="475"/>
      <c r="G437" s="475"/>
      <c r="H437" s="475"/>
      <c r="I437" s="477"/>
    </row>
    <row r="438" spans="1:9" ht="12.75">
      <c r="A438" s="475"/>
      <c r="B438" s="475"/>
      <c r="C438" s="475"/>
      <c r="D438" s="475"/>
      <c r="E438" s="475"/>
      <c r="F438" s="475"/>
      <c r="G438" s="475"/>
      <c r="H438" s="475"/>
      <c r="I438" s="477"/>
    </row>
    <row r="439" spans="1:9" ht="15.75">
      <c r="A439" s="593"/>
      <c r="B439" s="593"/>
      <c r="C439" s="593"/>
      <c r="D439" s="593"/>
      <c r="E439" s="491"/>
      <c r="F439" s="475"/>
      <c r="G439" s="475"/>
      <c r="H439" s="475"/>
      <c r="I439" s="477"/>
    </row>
    <row r="440" spans="1:9" ht="12.75">
      <c r="A440" s="491"/>
      <c r="B440" s="491"/>
      <c r="C440" s="491"/>
      <c r="D440" s="491"/>
      <c r="E440" s="491"/>
      <c r="F440" s="475"/>
      <c r="G440" s="475"/>
      <c r="H440" s="475"/>
      <c r="I440" s="477"/>
    </row>
    <row r="441" spans="1:9" ht="12.75">
      <c r="A441" s="491"/>
      <c r="B441" s="491"/>
      <c r="C441" s="491"/>
      <c r="D441" s="491"/>
      <c r="E441" s="491"/>
      <c r="F441" s="475"/>
      <c r="G441" s="475"/>
      <c r="H441" s="475"/>
      <c r="I441" s="477"/>
    </row>
    <row r="442" spans="1:9" ht="12.75">
      <c r="A442" s="491"/>
      <c r="B442" s="491"/>
      <c r="C442" s="492"/>
      <c r="D442" s="491"/>
      <c r="E442" s="491"/>
      <c r="F442" s="475"/>
      <c r="G442" s="475"/>
      <c r="H442" s="475"/>
      <c r="I442" s="477"/>
    </row>
    <row r="443" spans="1:9" ht="12.75">
      <c r="A443" s="491"/>
      <c r="B443" s="491"/>
      <c r="C443" s="492"/>
      <c r="D443" s="491"/>
      <c r="E443" s="491"/>
      <c r="F443" s="475"/>
      <c r="G443" s="475"/>
      <c r="H443" s="475"/>
      <c r="I443" s="477"/>
    </row>
    <row r="444" spans="1:9" ht="12.75">
      <c r="A444" s="491"/>
      <c r="B444" s="491"/>
      <c r="C444" s="492"/>
      <c r="D444" s="491"/>
      <c r="E444" s="491"/>
      <c r="F444" s="475"/>
      <c r="G444" s="475"/>
      <c r="H444" s="475"/>
      <c r="I444" s="477"/>
    </row>
    <row r="445" spans="1:9" ht="12.75">
      <c r="A445" s="491"/>
      <c r="B445" s="491"/>
      <c r="C445" s="492"/>
      <c r="D445" s="491"/>
      <c r="E445" s="491"/>
      <c r="F445" s="475"/>
      <c r="G445" s="475"/>
      <c r="H445" s="475"/>
      <c r="I445" s="477"/>
    </row>
    <row r="446" spans="1:9" ht="12.75">
      <c r="A446" s="491"/>
      <c r="B446" s="491"/>
      <c r="C446" s="491"/>
      <c r="D446" s="491"/>
      <c r="E446" s="491"/>
      <c r="F446" s="475"/>
      <c r="G446" s="475"/>
      <c r="H446" s="475"/>
      <c r="I446" s="477"/>
    </row>
    <row r="447" spans="1:9" ht="12.75">
      <c r="A447" s="491"/>
      <c r="B447" s="491"/>
      <c r="C447" s="491"/>
      <c r="D447" s="492"/>
      <c r="E447" s="491"/>
      <c r="F447" s="475"/>
      <c r="G447" s="475"/>
      <c r="H447" s="475"/>
      <c r="I447" s="477"/>
    </row>
    <row r="448" spans="1:9" ht="12.75">
      <c r="A448" s="491"/>
      <c r="B448" s="491"/>
      <c r="C448" s="491"/>
      <c r="D448" s="491"/>
      <c r="E448" s="491"/>
      <c r="F448" s="475"/>
      <c r="G448" s="475"/>
      <c r="H448" s="475"/>
      <c r="I448" s="477"/>
    </row>
    <row r="449" spans="1:9" ht="12.75">
      <c r="A449" s="491"/>
      <c r="B449" s="491"/>
      <c r="C449" s="491"/>
      <c r="D449" s="491"/>
      <c r="E449" s="491"/>
      <c r="F449" s="475"/>
      <c r="G449" s="475"/>
      <c r="H449" s="475"/>
      <c r="I449" s="477"/>
    </row>
    <row r="450" spans="1:9" ht="15.75">
      <c r="A450" s="490"/>
      <c r="B450" s="490"/>
      <c r="C450" s="493"/>
      <c r="D450" s="493"/>
      <c r="E450" s="494"/>
      <c r="F450" s="475"/>
      <c r="G450" s="475"/>
      <c r="H450" s="475"/>
      <c r="I450" s="477"/>
    </row>
    <row r="451" spans="1:9" ht="15.75">
      <c r="A451" s="490"/>
      <c r="B451" s="490"/>
      <c r="C451" s="493"/>
      <c r="D451" s="493"/>
      <c r="E451" s="494"/>
      <c r="F451" s="475"/>
      <c r="G451" s="475"/>
      <c r="H451" s="475"/>
      <c r="I451" s="477"/>
    </row>
    <row r="452" spans="1:9" ht="15.75">
      <c r="A452" s="490"/>
      <c r="B452" s="490"/>
      <c r="C452" s="493"/>
      <c r="D452" s="493"/>
      <c r="E452" s="494"/>
      <c r="F452" s="475"/>
      <c r="G452" s="475"/>
      <c r="H452" s="475"/>
      <c r="I452" s="477"/>
    </row>
    <row r="453" spans="1:9" ht="15.75">
      <c r="A453" s="490"/>
      <c r="B453" s="490"/>
      <c r="C453" s="493"/>
      <c r="D453" s="493"/>
      <c r="E453" s="494"/>
      <c r="F453" s="475"/>
      <c r="G453" s="475"/>
      <c r="H453" s="475"/>
      <c r="I453" s="477"/>
    </row>
    <row r="454" spans="1:9" ht="12.75">
      <c r="A454" s="475"/>
      <c r="B454" s="475"/>
      <c r="C454" s="475"/>
      <c r="D454" s="475"/>
      <c r="E454" s="475"/>
      <c r="F454" s="475"/>
      <c r="G454" s="475"/>
      <c r="H454" s="475"/>
      <c r="I454" s="477"/>
    </row>
    <row r="455" spans="1:9" ht="12.75">
      <c r="A455" s="491"/>
      <c r="B455" s="491"/>
      <c r="C455" s="491"/>
      <c r="D455" s="491"/>
      <c r="E455" s="491"/>
      <c r="F455" s="475"/>
      <c r="G455" s="475"/>
      <c r="H455" s="475"/>
      <c r="I455" s="477"/>
    </row>
    <row r="456" spans="1:9" ht="15.75">
      <c r="A456" s="490"/>
      <c r="B456" s="490"/>
      <c r="C456" s="493"/>
      <c r="D456" s="493"/>
      <c r="E456" s="494"/>
      <c r="F456" s="475"/>
      <c r="G456" s="475"/>
      <c r="H456" s="475"/>
      <c r="I456" s="477"/>
    </row>
  </sheetData>
  <sheetProtection password="AEBA" sheet="1"/>
  <mergeCells count="117">
    <mergeCell ref="A178:C178"/>
    <mergeCell ref="A184:C184"/>
    <mergeCell ref="A185:G185"/>
    <mergeCell ref="A165:C165"/>
    <mergeCell ref="A171:C171"/>
    <mergeCell ref="A172:G172"/>
    <mergeCell ref="A173:C173"/>
    <mergeCell ref="A159:C159"/>
    <mergeCell ref="A160:G160"/>
    <mergeCell ref="C424:D424"/>
    <mergeCell ref="C425:D425"/>
    <mergeCell ref="A199:C199"/>
    <mergeCell ref="A204:C204"/>
    <mergeCell ref="A210:C210"/>
    <mergeCell ref="A211:G211"/>
    <mergeCell ref="A212:C212"/>
    <mergeCell ref="A217:C217"/>
    <mergeCell ref="A191:C191"/>
    <mergeCell ref="A197:C197"/>
    <mergeCell ref="A198:G198"/>
    <mergeCell ref="A238:C238"/>
    <mergeCell ref="A237:G237"/>
    <mergeCell ref="A393:G393"/>
    <mergeCell ref="A355:C355"/>
    <mergeCell ref="A360:C360"/>
    <mergeCell ref="A366:C366"/>
    <mergeCell ref="A367:G367"/>
    <mergeCell ref="A368:C368"/>
    <mergeCell ref="A373:C373"/>
    <mergeCell ref="A379:C379"/>
    <mergeCell ref="A380:G380"/>
    <mergeCell ref="A381:C381"/>
    <mergeCell ref="H2:L2"/>
    <mergeCell ref="H4:L4"/>
    <mergeCell ref="H22:L22"/>
    <mergeCell ref="H27:L27"/>
    <mergeCell ref="Q28:V28"/>
    <mergeCell ref="L38:P38"/>
    <mergeCell ref="T33:U33"/>
    <mergeCell ref="Q33:R33"/>
    <mergeCell ref="T34:U34"/>
    <mergeCell ref="Q31:R31"/>
    <mergeCell ref="T31:U31"/>
    <mergeCell ref="Q32:R32"/>
    <mergeCell ref="Q34:R34"/>
    <mergeCell ref="Q29:R29"/>
    <mergeCell ref="T29:U29"/>
    <mergeCell ref="Q30:R30"/>
    <mergeCell ref="T30:U30"/>
    <mergeCell ref="A439:D439"/>
    <mergeCell ref="A420:C420"/>
    <mergeCell ref="A422:C422"/>
    <mergeCell ref="A424:B424"/>
    <mergeCell ref="A425:B425"/>
    <mergeCell ref="A426:B426"/>
    <mergeCell ref="A427:B427"/>
    <mergeCell ref="C426:D426"/>
    <mergeCell ref="C427:D427"/>
    <mergeCell ref="C428:D428"/>
    <mergeCell ref="A407:C407"/>
    <mergeCell ref="A412:C412"/>
    <mergeCell ref="A428:B428"/>
    <mergeCell ref="A429:B429"/>
    <mergeCell ref="C429:D429"/>
    <mergeCell ref="A394:C394"/>
    <mergeCell ref="A399:C399"/>
    <mergeCell ref="A405:C405"/>
    <mergeCell ref="A406:G406"/>
    <mergeCell ref="A392:C392"/>
    <mergeCell ref="A316:C316"/>
    <mergeCell ref="A321:C321"/>
    <mergeCell ref="A327:C327"/>
    <mergeCell ref="A328:G328"/>
    <mergeCell ref="A329:C329"/>
    <mergeCell ref="A334:C334"/>
    <mergeCell ref="A340:C340"/>
    <mergeCell ref="A341:G341"/>
    <mergeCell ref="A342:C342"/>
    <mergeCell ref="A386:C386"/>
    <mergeCell ref="A147:C147"/>
    <mergeCell ref="A44:D44"/>
    <mergeCell ref="A347:C347"/>
    <mergeCell ref="A353:C353"/>
    <mergeCell ref="A354:G354"/>
    <mergeCell ref="A289:G289"/>
    <mergeCell ref="A290:C290"/>
    <mergeCell ref="A295:C295"/>
    <mergeCell ref="A262:C262"/>
    <mergeCell ref="A308:C308"/>
    <mergeCell ref="A314:C314"/>
    <mergeCell ref="A315:G315"/>
    <mergeCell ref="T32:U32"/>
    <mergeCell ref="L42:P42"/>
    <mergeCell ref="I32:K32"/>
    <mergeCell ref="A263:G263"/>
    <mergeCell ref="A264:C264"/>
    <mergeCell ref="A269:C269"/>
    <mergeCell ref="A275:C275"/>
    <mergeCell ref="A302:G302"/>
    <mergeCell ref="A303:C303"/>
    <mergeCell ref="A277:C277"/>
    <mergeCell ref="A243:C243"/>
    <mergeCell ref="A249:C249"/>
    <mergeCell ref="A250:G250"/>
    <mergeCell ref="A276:G276"/>
    <mergeCell ref="A251:C251"/>
    <mergeCell ref="A256:C256"/>
    <mergeCell ref="A282:C282"/>
    <mergeCell ref="A288:C288"/>
    <mergeCell ref="M32:N32"/>
    <mergeCell ref="A301:C301"/>
    <mergeCell ref="A223:C223"/>
    <mergeCell ref="A224:G224"/>
    <mergeCell ref="A225:C225"/>
    <mergeCell ref="A230:C230"/>
    <mergeCell ref="A236:C236"/>
    <mergeCell ref="A186:C186"/>
  </mergeCells>
  <printOptions/>
  <pageMargins left="0.7875" right="0.7875" top="1.025" bottom="1.025" header="0.7875" footer="0.7875"/>
  <pageSetup horizontalDpi="300" verticalDpi="300" orientation="landscape" paperSize="8" r:id="rId2"/>
  <headerFooter alignWithMargins="0">
    <oddHeader>&amp;C&amp;A</oddHeader>
    <oddFooter>&amp;CPagina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393"/>
  <sheetViews>
    <sheetView zoomScale="60" zoomScaleNormal="60" zoomScalePageLayoutView="0" workbookViewId="0" topLeftCell="D4">
      <selection activeCell="J28" sqref="J28"/>
    </sheetView>
  </sheetViews>
  <sheetFormatPr defaultColWidth="34.7109375" defaultRowHeight="12.75"/>
  <cols>
    <col min="1" max="1" width="18.421875" style="1" customWidth="1"/>
    <col min="2" max="2" width="25.140625" style="1" customWidth="1"/>
    <col min="3" max="4" width="18.421875" style="1" customWidth="1"/>
    <col min="5" max="6" width="10.140625" style="1" customWidth="1"/>
    <col min="7" max="7" width="4.7109375" style="1" customWidth="1"/>
    <col min="8" max="8" width="10.140625" style="1" customWidth="1"/>
    <col min="9" max="9" width="11.8515625" style="1" customWidth="1"/>
    <col min="10" max="14" width="10.140625" style="1" customWidth="1"/>
    <col min="15" max="15" width="22.421875" style="1" customWidth="1"/>
    <col min="16" max="20" width="20.421875" style="1" customWidth="1"/>
    <col min="21" max="21" width="25.57421875" style="1" customWidth="1"/>
    <col min="22" max="16384" width="34.7109375" style="1" customWidth="1"/>
  </cols>
  <sheetData>
    <row r="1" ht="41.25" customHeight="1"/>
    <row r="2" spans="4:7" ht="42" customHeight="1">
      <c r="D2" s="28"/>
      <c r="E2" s="73"/>
      <c r="F2" s="28"/>
      <c r="G2" s="28"/>
    </row>
    <row r="3" spans="8:15" ht="64.5" customHeight="1">
      <c r="H3" s="617" t="s">
        <v>90</v>
      </c>
      <c r="I3" s="617"/>
      <c r="J3" s="617"/>
      <c r="K3" s="617"/>
      <c r="L3" s="617"/>
      <c r="M3" s="617"/>
      <c r="N3" s="617"/>
      <c r="O3" s="617"/>
    </row>
    <row r="5" spans="5:21" ht="27.75" customHeight="1" thickBot="1">
      <c r="E5" s="231" t="s">
        <v>75</v>
      </c>
      <c r="F5" s="231" t="s">
        <v>76</v>
      </c>
      <c r="G5" s="294"/>
      <c r="H5" s="231" t="s">
        <v>77</v>
      </c>
      <c r="I5" s="231" t="s">
        <v>33</v>
      </c>
      <c r="J5" s="618" t="s">
        <v>78</v>
      </c>
      <c r="K5" s="618"/>
      <c r="L5" s="618"/>
      <c r="M5" s="618"/>
      <c r="N5" s="618"/>
      <c r="O5" s="237" t="s">
        <v>79</v>
      </c>
      <c r="P5" s="619" t="s">
        <v>80</v>
      </c>
      <c r="Q5" s="619"/>
      <c r="R5" s="619"/>
      <c r="S5" s="619"/>
      <c r="T5" s="619"/>
      <c r="U5" s="212"/>
    </row>
    <row r="6" spans="5:21" ht="345" thickBot="1">
      <c r="E6" s="295" t="s">
        <v>81</v>
      </c>
      <c r="F6" s="295" t="s">
        <v>82</v>
      </c>
      <c r="G6" s="296"/>
      <c r="H6" s="295" t="s">
        <v>91</v>
      </c>
      <c r="I6" s="533" t="s">
        <v>341</v>
      </c>
      <c r="J6" s="295" t="s">
        <v>93</v>
      </c>
      <c r="K6" s="297" t="s">
        <v>94</v>
      </c>
      <c r="L6" s="297" t="s">
        <v>95</v>
      </c>
      <c r="M6" s="297" t="s">
        <v>96</v>
      </c>
      <c r="N6" s="298" t="s">
        <v>97</v>
      </c>
      <c r="O6" s="241" t="s">
        <v>98</v>
      </c>
      <c r="P6" s="250" t="s">
        <v>165</v>
      </c>
      <c r="Q6" s="251" t="s">
        <v>263</v>
      </c>
      <c r="R6" s="251" t="s">
        <v>147</v>
      </c>
      <c r="S6" s="251" t="s">
        <v>146</v>
      </c>
      <c r="T6" s="365" t="s">
        <v>266</v>
      </c>
      <c r="U6" s="253" t="s">
        <v>87</v>
      </c>
    </row>
    <row r="7" spans="5:21" ht="13.5" thickBot="1">
      <c r="E7" s="59" t="s">
        <v>88</v>
      </c>
      <c r="F7" s="59" t="s">
        <v>88</v>
      </c>
      <c r="G7" s="74"/>
      <c r="H7" s="61" t="s">
        <v>88</v>
      </c>
      <c r="I7" s="61" t="s">
        <v>89</v>
      </c>
      <c r="J7" s="75">
        <v>0</v>
      </c>
      <c r="K7" s="76">
        <v>0</v>
      </c>
      <c r="L7" s="76">
        <v>0</v>
      </c>
      <c r="M7" s="76">
        <v>0</v>
      </c>
      <c r="N7" s="77">
        <v>0</v>
      </c>
      <c r="O7" s="62"/>
      <c r="P7" s="63"/>
      <c r="Q7" s="63"/>
      <c r="R7" s="63"/>
      <c r="S7" s="63"/>
      <c r="T7" s="63" t="s">
        <v>7</v>
      </c>
      <c r="U7" s="64"/>
    </row>
    <row r="8" spans="5:21" ht="13.5" thickBot="1">
      <c r="E8" s="28"/>
      <c r="G8" s="28"/>
      <c r="H8" s="245"/>
      <c r="I8" s="246"/>
      <c r="J8" s="247">
        <f>+J7*5/100</f>
        <v>0</v>
      </c>
      <c r="K8" s="299">
        <f>+K7*20/100</f>
        <v>0</v>
      </c>
      <c r="L8" s="299">
        <f>+L7*10/100</f>
        <v>0</v>
      </c>
      <c r="M8" s="299">
        <f>+M7*5/100</f>
        <v>0</v>
      </c>
      <c r="N8" s="300">
        <f>+N7*10/100</f>
        <v>0</v>
      </c>
      <c r="O8" s="248" t="b">
        <f>IF(O7="U","9,00%",IF(O7="B","7,50%",IF(O7="P","6,25%")))</f>
        <v>0</v>
      </c>
      <c r="P8" s="301"/>
      <c r="Q8" s="302"/>
      <c r="R8" s="212"/>
      <c r="S8" s="212"/>
      <c r="T8" s="364"/>
      <c r="U8" s="212"/>
    </row>
    <row r="9" spans="5:21" ht="23.25" customHeight="1" thickBot="1">
      <c r="E9" s="548">
        <f>+E386</f>
        <v>0</v>
      </c>
      <c r="F9" s="548">
        <f>+E384</f>
        <v>0</v>
      </c>
      <c r="G9" s="81"/>
      <c r="H9" s="249">
        <f>+F9+(E9*0.6)</f>
        <v>0</v>
      </c>
      <c r="I9" s="80">
        <v>0</v>
      </c>
      <c r="J9" s="620">
        <f>(+J8+K8+L8+M8+N8)*2</f>
        <v>0</v>
      </c>
      <c r="K9" s="620"/>
      <c r="L9" s="620"/>
      <c r="M9" s="620"/>
      <c r="N9" s="620"/>
      <c r="O9" s="70" t="str">
        <f>IF(I9&lt;501,"5",IF(I9&lt;1001,"6",IF(I9&lt;1501,"7",IF(I9&lt;2001,"8",IF(I9&lt;2501,"9",IF(I9&lt;3001,"10",IF(I9&lt;3501,"11",IF(I9&lt;4001,"12"))))))))</f>
        <v>5</v>
      </c>
      <c r="P9" s="621" t="str">
        <f>IF(P7="x","35",IF(Q7="x","40",IF(R7="x","35",IF(S7="x","35",IF(T7="x","0")))))</f>
        <v>0</v>
      </c>
      <c r="Q9" s="621"/>
      <c r="R9" s="621"/>
      <c r="S9" s="621"/>
      <c r="T9" s="621"/>
      <c r="U9" s="367">
        <f>+J9*(O9)*I9*H9/100*((100-P9)/100)</f>
        <v>0</v>
      </c>
    </row>
    <row r="11" spans="1:4" ht="12.75">
      <c r="A11" s="591" t="s">
        <v>30</v>
      </c>
      <c r="B11" s="591"/>
      <c r="C11" s="591"/>
      <c r="D11" s="591"/>
    </row>
    <row r="12" spans="1:4" ht="13.5" thickBot="1">
      <c r="A12" s="234"/>
      <c r="B12" s="234"/>
      <c r="C12" s="255"/>
      <c r="D12" s="255"/>
    </row>
    <row r="13" spans="1:23" ht="27" customHeight="1" thickBot="1">
      <c r="A13" s="256" t="s">
        <v>31</v>
      </c>
      <c r="B13" s="256" t="s">
        <v>32</v>
      </c>
      <c r="C13" s="256" t="s">
        <v>34</v>
      </c>
      <c r="D13" s="257" t="s">
        <v>204</v>
      </c>
      <c r="H13" s="541" t="s">
        <v>350</v>
      </c>
      <c r="I13" s="542"/>
      <c r="J13" s="542"/>
      <c r="K13" s="542"/>
      <c r="L13" s="542"/>
      <c r="M13" s="542"/>
      <c r="N13" s="542"/>
      <c r="O13" s="543"/>
      <c r="P13" s="543"/>
      <c r="Q13" s="543"/>
      <c r="R13" s="542"/>
      <c r="S13" s="542"/>
      <c r="T13" s="544"/>
      <c r="V13" s="291" t="s">
        <v>192</v>
      </c>
      <c r="W13" s="291"/>
    </row>
    <row r="14" spans="1:23" ht="12.75">
      <c r="A14" s="258"/>
      <c r="B14" s="258"/>
      <c r="C14" s="259">
        <v>1400</v>
      </c>
      <c r="D14" s="260" t="s">
        <v>205</v>
      </c>
      <c r="H14" s="536"/>
      <c r="I14" s="423"/>
      <c r="J14" s="423"/>
      <c r="K14" s="423"/>
      <c r="L14" s="423"/>
      <c r="M14" s="423"/>
      <c r="N14" s="423"/>
      <c r="O14" s="423"/>
      <c r="P14" s="423"/>
      <c r="Q14" s="423"/>
      <c r="R14" s="423"/>
      <c r="S14" s="423"/>
      <c r="T14" s="424"/>
      <c r="V14" s="291" t="s">
        <v>193</v>
      </c>
      <c r="W14" s="292" t="s">
        <v>107</v>
      </c>
    </row>
    <row r="15" spans="1:23" ht="20.25" customHeight="1">
      <c r="A15" s="258"/>
      <c r="B15" s="258"/>
      <c r="C15" s="259">
        <v>1400</v>
      </c>
      <c r="D15" s="260" t="s">
        <v>35</v>
      </c>
      <c r="H15" s="614" t="s">
        <v>347</v>
      </c>
      <c r="I15" s="615"/>
      <c r="J15" s="616"/>
      <c r="K15" s="423"/>
      <c r="L15" s="423"/>
      <c r="M15" s="423"/>
      <c r="N15" s="423"/>
      <c r="O15" s="423"/>
      <c r="P15" s="423"/>
      <c r="Q15" s="423"/>
      <c r="R15" s="423"/>
      <c r="S15" s="423"/>
      <c r="T15" s="424"/>
      <c r="V15" s="292" t="s">
        <v>194</v>
      </c>
      <c r="W15" s="292">
        <v>5</v>
      </c>
    </row>
    <row r="16" spans="1:23" ht="14.25" customHeight="1">
      <c r="A16" s="258"/>
      <c r="B16" s="258"/>
      <c r="C16" s="259">
        <v>1400</v>
      </c>
      <c r="D16" s="260" t="s">
        <v>37</v>
      </c>
      <c r="H16" s="536"/>
      <c r="I16" s="423"/>
      <c r="J16" s="423"/>
      <c r="K16" s="423"/>
      <c r="L16" s="423"/>
      <c r="M16" s="423"/>
      <c r="N16" s="423"/>
      <c r="O16" s="423"/>
      <c r="P16" s="423"/>
      <c r="Q16" s="423"/>
      <c r="R16" s="423"/>
      <c r="S16" s="423"/>
      <c r="T16" s="424"/>
      <c r="V16" s="292" t="s">
        <v>195</v>
      </c>
      <c r="W16" s="292">
        <v>6</v>
      </c>
    </row>
    <row r="17" spans="1:23" ht="21" customHeight="1">
      <c r="A17" s="258"/>
      <c r="B17" s="258"/>
      <c r="C17" s="261">
        <v>1750</v>
      </c>
      <c r="D17" s="262" t="s">
        <v>206</v>
      </c>
      <c r="H17" s="536"/>
      <c r="I17" s="537" t="s">
        <v>33</v>
      </c>
      <c r="J17" s="537" t="s">
        <v>76</v>
      </c>
      <c r="K17" s="537" t="s">
        <v>349</v>
      </c>
      <c r="L17" s="423"/>
      <c r="M17" s="423"/>
      <c r="N17" s="423"/>
      <c r="O17" s="423"/>
      <c r="P17" s="423"/>
      <c r="Q17" s="423"/>
      <c r="R17" s="423"/>
      <c r="S17" s="423"/>
      <c r="T17" s="424"/>
      <c r="V17" s="292" t="s">
        <v>196</v>
      </c>
      <c r="W17" s="292">
        <v>7</v>
      </c>
    </row>
    <row r="18" spans="1:23" ht="22.5" customHeight="1">
      <c r="A18" s="258"/>
      <c r="B18" s="258"/>
      <c r="C18" s="261">
        <v>1400</v>
      </c>
      <c r="D18" s="262" t="s">
        <v>207</v>
      </c>
      <c r="H18" s="538"/>
      <c r="I18" s="545">
        <v>0</v>
      </c>
      <c r="J18" s="535">
        <v>0</v>
      </c>
      <c r="K18" s="558">
        <v>0</v>
      </c>
      <c r="L18" s="423"/>
      <c r="M18" s="423"/>
      <c r="N18" s="423"/>
      <c r="O18" s="423"/>
      <c r="P18" s="423"/>
      <c r="Q18" s="423"/>
      <c r="R18" s="423"/>
      <c r="S18" s="423"/>
      <c r="T18" s="424"/>
      <c r="V18" s="292" t="s">
        <v>197</v>
      </c>
      <c r="W18" s="292">
        <v>8</v>
      </c>
    </row>
    <row r="19" spans="1:23" ht="29.25" customHeight="1">
      <c r="A19" s="258"/>
      <c r="B19" s="258"/>
      <c r="C19" s="261">
        <v>1400</v>
      </c>
      <c r="D19" s="262" t="s">
        <v>208</v>
      </c>
      <c r="H19" s="546" t="s">
        <v>348</v>
      </c>
      <c r="I19" s="547">
        <f>I18*J18*K18*0.4</f>
        <v>0</v>
      </c>
      <c r="J19" s="539"/>
      <c r="K19" s="539"/>
      <c r="L19" s="539"/>
      <c r="M19" s="539"/>
      <c r="N19" s="539"/>
      <c r="O19" s="539"/>
      <c r="P19" s="539"/>
      <c r="Q19" s="539"/>
      <c r="R19" s="539"/>
      <c r="S19" s="539"/>
      <c r="T19" s="540"/>
      <c r="V19" s="292" t="s">
        <v>198</v>
      </c>
      <c r="W19" s="292">
        <v>9</v>
      </c>
    </row>
    <row r="20" spans="1:23" ht="12.75">
      <c r="A20" s="258"/>
      <c r="B20" s="258"/>
      <c r="C20" s="261">
        <v>1400</v>
      </c>
      <c r="D20" s="262" t="s">
        <v>209</v>
      </c>
      <c r="V20" s="292" t="s">
        <v>199</v>
      </c>
      <c r="W20" s="292">
        <v>10</v>
      </c>
    </row>
    <row r="21" spans="1:23" ht="12.75">
      <c r="A21" s="258"/>
      <c r="B21" s="258"/>
      <c r="C21" s="261">
        <v>1092.5</v>
      </c>
      <c r="D21" s="262" t="s">
        <v>210</v>
      </c>
      <c r="V21" s="292" t="s">
        <v>200</v>
      </c>
      <c r="W21" s="292">
        <v>11</v>
      </c>
    </row>
    <row r="22" spans="1:23" ht="12.75">
      <c r="A22" s="258"/>
      <c r="B22" s="258"/>
      <c r="C22" s="261">
        <v>1092.5</v>
      </c>
      <c r="D22" s="262" t="s">
        <v>38</v>
      </c>
      <c r="V22" s="292" t="s">
        <v>201</v>
      </c>
      <c r="W22" s="292">
        <v>12</v>
      </c>
    </row>
    <row r="23" spans="1:23" ht="12.75">
      <c r="A23" s="258"/>
      <c r="B23" s="258"/>
      <c r="C23" s="261">
        <v>1080.63</v>
      </c>
      <c r="D23" s="262" t="s">
        <v>39</v>
      </c>
      <c r="V23" s="292" t="s">
        <v>202</v>
      </c>
      <c r="W23" s="292">
        <v>13</v>
      </c>
    </row>
    <row r="24" spans="1:23" ht="12.75">
      <c r="A24" s="258"/>
      <c r="B24" s="258"/>
      <c r="C24" s="261">
        <v>1050</v>
      </c>
      <c r="D24" s="262" t="s">
        <v>40</v>
      </c>
      <c r="V24" s="292" t="s">
        <v>203</v>
      </c>
      <c r="W24" s="292">
        <v>14</v>
      </c>
    </row>
    <row r="25" spans="1:4" ht="12.75">
      <c r="A25" s="258"/>
      <c r="B25" s="258"/>
      <c r="C25" s="261">
        <v>1050</v>
      </c>
      <c r="D25" s="262" t="s">
        <v>211</v>
      </c>
    </row>
    <row r="26" spans="1:4" ht="12.75">
      <c r="A26" s="258"/>
      <c r="B26" s="258"/>
      <c r="C26" s="261">
        <v>1050</v>
      </c>
      <c r="D26" s="262" t="s">
        <v>212</v>
      </c>
    </row>
    <row r="27" spans="1:4" ht="12.75">
      <c r="A27" s="258"/>
      <c r="B27" s="258"/>
      <c r="C27" s="261">
        <v>1400</v>
      </c>
      <c r="D27" s="262" t="s">
        <v>213</v>
      </c>
    </row>
    <row r="28" spans="1:4" ht="12.75">
      <c r="A28" s="258"/>
      <c r="B28" s="258"/>
      <c r="C28" s="261">
        <v>1104.38</v>
      </c>
      <c r="D28" s="262" t="s">
        <v>214</v>
      </c>
    </row>
    <row r="29" spans="1:4" ht="12.75">
      <c r="A29" s="258"/>
      <c r="B29" s="258"/>
      <c r="C29" s="261">
        <v>1068.75</v>
      </c>
      <c r="D29" s="262" t="s">
        <v>215</v>
      </c>
    </row>
    <row r="30" spans="1:4" ht="12.75">
      <c r="A30" s="258"/>
      <c r="B30" s="258"/>
      <c r="C30" s="261">
        <v>1116.25</v>
      </c>
      <c r="D30" s="262" t="s">
        <v>216</v>
      </c>
    </row>
    <row r="31" spans="1:4" ht="12.75">
      <c r="A31" s="258"/>
      <c r="B31" s="258"/>
      <c r="C31" s="261">
        <v>1400</v>
      </c>
      <c r="D31" s="262" t="s">
        <v>217</v>
      </c>
    </row>
    <row r="32" spans="1:4" ht="12.75">
      <c r="A32" s="258"/>
      <c r="B32" s="258"/>
      <c r="C32" s="261">
        <v>1400</v>
      </c>
      <c r="D32" s="262" t="s">
        <v>218</v>
      </c>
    </row>
    <row r="33" spans="1:4" ht="12.75">
      <c r="A33" s="258"/>
      <c r="B33" s="258"/>
      <c r="C33" s="261">
        <v>1050</v>
      </c>
      <c r="D33" s="262" t="s">
        <v>219</v>
      </c>
    </row>
    <row r="34" spans="1:4" ht="12.75">
      <c r="A34" s="258"/>
      <c r="B34" s="258"/>
      <c r="C34" s="261">
        <v>1050</v>
      </c>
      <c r="D34" s="262" t="s">
        <v>42</v>
      </c>
    </row>
    <row r="35" spans="1:4" ht="12.75">
      <c r="A35" s="258"/>
      <c r="B35" s="258"/>
      <c r="C35" s="261">
        <v>1050</v>
      </c>
      <c r="D35" s="262" t="s">
        <v>220</v>
      </c>
    </row>
    <row r="36" spans="1:4" ht="13.5" thickBot="1">
      <c r="A36" s="258"/>
      <c r="B36" s="258"/>
      <c r="C36" s="261">
        <v>1050</v>
      </c>
      <c r="D36" s="262" t="s">
        <v>221</v>
      </c>
    </row>
    <row r="37" spans="1:4" ht="13.5" thickBot="1">
      <c r="A37" s="263" t="s">
        <v>43</v>
      </c>
      <c r="B37" s="263" t="s">
        <v>44</v>
      </c>
      <c r="C37" s="264" t="s">
        <v>34</v>
      </c>
      <c r="D37" s="263" t="s">
        <v>204</v>
      </c>
    </row>
    <row r="38" spans="1:4" ht="12.75">
      <c r="A38" s="265"/>
      <c r="B38" s="265"/>
      <c r="C38" s="266">
        <v>1400</v>
      </c>
      <c r="D38" s="267" t="s">
        <v>205</v>
      </c>
    </row>
    <row r="39" spans="1:4" ht="12.75">
      <c r="A39" s="265"/>
      <c r="B39" s="265"/>
      <c r="C39" s="266">
        <v>1400</v>
      </c>
      <c r="D39" s="268" t="s">
        <v>35</v>
      </c>
    </row>
    <row r="40" spans="1:4" ht="12.75">
      <c r="A40" s="265"/>
      <c r="B40" s="265"/>
      <c r="C40" s="266">
        <v>1400</v>
      </c>
      <c r="D40" s="269" t="s">
        <v>37</v>
      </c>
    </row>
    <row r="41" spans="1:4" ht="12.75">
      <c r="A41" s="265"/>
      <c r="B41" s="265"/>
      <c r="C41" s="266">
        <v>1750</v>
      </c>
      <c r="D41" s="269" t="s">
        <v>206</v>
      </c>
    </row>
    <row r="42" spans="1:4" ht="12.75">
      <c r="A42" s="265"/>
      <c r="B42" s="265"/>
      <c r="C42" s="266">
        <v>1400</v>
      </c>
      <c r="D42" s="269" t="s">
        <v>207</v>
      </c>
    </row>
    <row r="43" spans="1:4" ht="12.75">
      <c r="A43" s="265"/>
      <c r="B43" s="265"/>
      <c r="C43" s="266">
        <v>1400</v>
      </c>
      <c r="D43" s="269" t="s">
        <v>208</v>
      </c>
    </row>
    <row r="44" spans="1:4" ht="12.75">
      <c r="A44" s="265"/>
      <c r="B44" s="265"/>
      <c r="C44" s="266">
        <v>1400</v>
      </c>
      <c r="D44" s="269" t="s">
        <v>209</v>
      </c>
    </row>
    <row r="45" spans="1:4" ht="12.75">
      <c r="A45" s="265"/>
      <c r="B45" s="265"/>
      <c r="C45" s="266">
        <v>1068.75</v>
      </c>
      <c r="D45" s="269" t="s">
        <v>210</v>
      </c>
    </row>
    <row r="46" spans="1:4" ht="12.75">
      <c r="A46" s="265"/>
      <c r="B46" s="265"/>
      <c r="C46" s="266">
        <v>1050</v>
      </c>
      <c r="D46" s="269" t="s">
        <v>38</v>
      </c>
    </row>
    <row r="47" spans="1:4" ht="12.75">
      <c r="A47" s="265"/>
      <c r="B47" s="265"/>
      <c r="C47" s="266">
        <v>1068.75</v>
      </c>
      <c r="D47" s="269" t="s">
        <v>39</v>
      </c>
    </row>
    <row r="48" spans="1:4" ht="12.75">
      <c r="A48" s="265"/>
      <c r="B48" s="265"/>
      <c r="C48" s="266">
        <v>1050</v>
      </c>
      <c r="D48" s="269" t="s">
        <v>40</v>
      </c>
    </row>
    <row r="49" spans="1:4" ht="12.75">
      <c r="A49" s="265"/>
      <c r="B49" s="265"/>
      <c r="C49" s="266">
        <v>1050</v>
      </c>
      <c r="D49" s="269" t="s">
        <v>211</v>
      </c>
    </row>
    <row r="50" spans="1:4" ht="12.75">
      <c r="A50" s="265"/>
      <c r="B50" s="265"/>
      <c r="C50" s="266">
        <v>1050</v>
      </c>
      <c r="D50" s="269" t="s">
        <v>212</v>
      </c>
    </row>
    <row r="51" spans="1:4" ht="12.75">
      <c r="A51" s="265"/>
      <c r="B51" s="265"/>
      <c r="C51" s="266">
        <v>0</v>
      </c>
      <c r="D51" s="269" t="s">
        <v>213</v>
      </c>
    </row>
    <row r="52" spans="1:4" ht="12.75">
      <c r="A52" s="265"/>
      <c r="B52" s="265"/>
      <c r="C52" s="266">
        <v>1050</v>
      </c>
      <c r="D52" s="269" t="s">
        <v>214</v>
      </c>
    </row>
    <row r="53" spans="1:4" ht="12.75">
      <c r="A53" s="265"/>
      <c r="B53" s="265"/>
      <c r="C53" s="266">
        <v>1050</v>
      </c>
      <c r="D53" s="269" t="s">
        <v>215</v>
      </c>
    </row>
    <row r="54" spans="1:4" ht="12.75">
      <c r="A54" s="265"/>
      <c r="B54" s="265"/>
      <c r="C54" s="266">
        <v>1050</v>
      </c>
      <c r="D54" s="269" t="s">
        <v>216</v>
      </c>
    </row>
    <row r="55" spans="1:4" ht="12.75">
      <c r="A55" s="265"/>
      <c r="B55" s="265"/>
      <c r="C55" s="266">
        <v>1104.38</v>
      </c>
      <c r="D55" s="269" t="s">
        <v>217</v>
      </c>
    </row>
    <row r="56" spans="1:4" ht="12.75">
      <c r="A56" s="265"/>
      <c r="B56" s="265"/>
      <c r="C56" s="266">
        <v>1116.25</v>
      </c>
      <c r="D56" s="269" t="s">
        <v>218</v>
      </c>
    </row>
    <row r="57" spans="1:4" ht="12.75">
      <c r="A57" s="265"/>
      <c r="B57" s="265"/>
      <c r="C57" s="266">
        <v>979.69</v>
      </c>
      <c r="D57" s="269" t="s">
        <v>219</v>
      </c>
    </row>
    <row r="58" spans="1:4" ht="12.75">
      <c r="A58" s="265"/>
      <c r="B58" s="265"/>
      <c r="C58" s="266">
        <v>979.69</v>
      </c>
      <c r="D58" s="269" t="s">
        <v>42</v>
      </c>
    </row>
    <row r="59" spans="1:4" ht="12.75">
      <c r="A59" s="265"/>
      <c r="B59" s="265"/>
      <c r="C59" s="266">
        <v>979.69</v>
      </c>
      <c r="D59" s="269" t="s">
        <v>220</v>
      </c>
    </row>
    <row r="60" spans="1:4" ht="13.5" thickBot="1">
      <c r="A60" s="265"/>
      <c r="B60" s="265"/>
      <c r="C60" s="266">
        <v>976.69</v>
      </c>
      <c r="D60" s="269" t="s">
        <v>221</v>
      </c>
    </row>
    <row r="61" spans="1:4" ht="39" thickBot="1">
      <c r="A61" s="270" t="s">
        <v>45</v>
      </c>
      <c r="B61" s="270" t="s">
        <v>46</v>
      </c>
      <c r="C61" s="270" t="s">
        <v>34</v>
      </c>
      <c r="D61" s="270" t="s">
        <v>204</v>
      </c>
    </row>
    <row r="62" spans="1:4" ht="12.75">
      <c r="A62" s="271"/>
      <c r="B62" s="271"/>
      <c r="C62" s="272">
        <v>1400</v>
      </c>
      <c r="D62" s="273" t="s">
        <v>205</v>
      </c>
    </row>
    <row r="63" spans="1:4" ht="12.75">
      <c r="A63" s="271"/>
      <c r="B63" s="271"/>
      <c r="C63" s="272">
        <v>1400</v>
      </c>
      <c r="D63" s="273" t="s">
        <v>35</v>
      </c>
    </row>
    <row r="64" spans="1:4" ht="12.75">
      <c r="A64" s="271"/>
      <c r="B64" s="271"/>
      <c r="C64" s="272">
        <v>1400</v>
      </c>
      <c r="D64" s="274" t="s">
        <v>37</v>
      </c>
    </row>
    <row r="65" spans="1:4" ht="12.75">
      <c r="A65" s="271"/>
      <c r="B65" s="271"/>
      <c r="C65" s="275">
        <v>1750</v>
      </c>
      <c r="D65" s="274" t="s">
        <v>206</v>
      </c>
    </row>
    <row r="66" spans="1:4" ht="12.75">
      <c r="A66" s="271"/>
      <c r="B66" s="271"/>
      <c r="C66" s="275">
        <v>1400</v>
      </c>
      <c r="D66" s="274" t="s">
        <v>207</v>
      </c>
    </row>
    <row r="67" spans="1:4" ht="12.75">
      <c r="A67" s="271"/>
      <c r="B67" s="271"/>
      <c r="C67" s="275">
        <v>1400</v>
      </c>
      <c r="D67" s="274" t="s">
        <v>208</v>
      </c>
    </row>
    <row r="68" spans="1:4" ht="12.75">
      <c r="A68" s="271"/>
      <c r="B68" s="271"/>
      <c r="C68" s="275">
        <v>1400</v>
      </c>
      <c r="D68" s="274" t="s">
        <v>209</v>
      </c>
    </row>
    <row r="69" spans="1:4" ht="12.75">
      <c r="A69" s="271"/>
      <c r="B69" s="271"/>
      <c r="C69" s="275">
        <v>1116.25</v>
      </c>
      <c r="D69" s="274" t="s">
        <v>210</v>
      </c>
    </row>
    <row r="70" spans="1:4" ht="12.75">
      <c r="A70" s="271"/>
      <c r="B70" s="271"/>
      <c r="C70" s="275">
        <v>1400</v>
      </c>
      <c r="D70" s="274" t="s">
        <v>38</v>
      </c>
    </row>
    <row r="71" spans="1:4" ht="12.75">
      <c r="A71" s="271"/>
      <c r="B71" s="271"/>
      <c r="C71" s="275">
        <v>1400</v>
      </c>
      <c r="D71" s="274" t="s">
        <v>39</v>
      </c>
    </row>
    <row r="72" spans="1:4" ht="12.75">
      <c r="A72" s="271"/>
      <c r="B72" s="271"/>
      <c r="C72" s="275">
        <v>1050</v>
      </c>
      <c r="D72" s="274" t="s">
        <v>40</v>
      </c>
    </row>
    <row r="73" spans="1:4" ht="12.75">
      <c r="A73" s="271"/>
      <c r="B73" s="271"/>
      <c r="C73" s="275">
        <v>1056.88</v>
      </c>
      <c r="D73" s="274" t="s">
        <v>211</v>
      </c>
    </row>
    <row r="74" spans="1:4" ht="12.75">
      <c r="A74" s="271"/>
      <c r="B74" s="271"/>
      <c r="C74" s="275">
        <v>1068.75</v>
      </c>
      <c r="D74" s="274" t="s">
        <v>212</v>
      </c>
    </row>
    <row r="75" spans="1:4" ht="12.75">
      <c r="A75" s="271"/>
      <c r="B75" s="271"/>
      <c r="C75" s="275">
        <v>1400</v>
      </c>
      <c r="D75" s="274" t="s">
        <v>213</v>
      </c>
    </row>
    <row r="76" spans="1:4" ht="12.75">
      <c r="A76" s="271"/>
      <c r="B76" s="271"/>
      <c r="C76" s="275">
        <v>1400</v>
      </c>
      <c r="D76" s="274" t="s">
        <v>214</v>
      </c>
    </row>
    <row r="77" spans="1:4" ht="12.75">
      <c r="A77" s="271"/>
      <c r="B77" s="271"/>
      <c r="C77" s="275">
        <v>1068.75</v>
      </c>
      <c r="D77" s="274" t="s">
        <v>215</v>
      </c>
    </row>
    <row r="78" spans="1:4" ht="12.75">
      <c r="A78" s="271"/>
      <c r="B78" s="271"/>
      <c r="C78" s="275">
        <v>1400</v>
      </c>
      <c r="D78" s="274" t="s">
        <v>216</v>
      </c>
    </row>
    <row r="79" spans="1:4" ht="12.75">
      <c r="A79" s="271"/>
      <c r="B79" s="271"/>
      <c r="C79" s="275">
        <v>1400</v>
      </c>
      <c r="D79" s="274" t="s">
        <v>217</v>
      </c>
    </row>
    <row r="80" spans="1:4" ht="12.75">
      <c r="A80" s="271"/>
      <c r="B80" s="271"/>
      <c r="C80" s="275">
        <v>1400</v>
      </c>
      <c r="D80" s="274" t="s">
        <v>218</v>
      </c>
    </row>
    <row r="81" spans="1:4" ht="12.75">
      <c r="A81" s="271"/>
      <c r="B81" s="271"/>
      <c r="C81" s="275">
        <v>1050</v>
      </c>
      <c r="D81" s="274" t="s">
        <v>219</v>
      </c>
    </row>
    <row r="82" spans="1:4" ht="12.75">
      <c r="A82" s="271"/>
      <c r="B82" s="271"/>
      <c r="C82" s="275">
        <v>1050</v>
      </c>
      <c r="D82" s="274" t="s">
        <v>42</v>
      </c>
    </row>
    <row r="83" spans="1:4" ht="12.75">
      <c r="A83" s="271"/>
      <c r="B83" s="271"/>
      <c r="C83" s="275">
        <v>1050</v>
      </c>
      <c r="D83" s="274" t="s">
        <v>220</v>
      </c>
    </row>
    <row r="84" spans="1:4" ht="13.5" thickBot="1">
      <c r="A84" s="271"/>
      <c r="B84" s="271"/>
      <c r="C84" s="275">
        <v>1050</v>
      </c>
      <c r="D84" s="274" t="s">
        <v>221</v>
      </c>
    </row>
    <row r="85" spans="1:4" ht="27.75" customHeight="1" thickBot="1">
      <c r="A85" s="276" t="s">
        <v>231</v>
      </c>
      <c r="B85" s="276" t="s">
        <v>232</v>
      </c>
      <c r="C85" s="276" t="s">
        <v>34</v>
      </c>
      <c r="D85" s="276" t="s">
        <v>204</v>
      </c>
    </row>
    <row r="86" spans="1:4" ht="12.75">
      <c r="A86" s="277"/>
      <c r="B86" s="277"/>
      <c r="C86" s="278">
        <v>920.31</v>
      </c>
      <c r="D86" s="279" t="s">
        <v>205</v>
      </c>
    </row>
    <row r="87" spans="1:4" ht="12.75">
      <c r="A87" s="277"/>
      <c r="B87" s="277"/>
      <c r="C87" s="278">
        <v>831.25</v>
      </c>
      <c r="D87" s="279" t="s">
        <v>35</v>
      </c>
    </row>
    <row r="88" spans="1:4" ht="12.75">
      <c r="A88" s="277"/>
      <c r="B88" s="277"/>
      <c r="C88" s="278">
        <v>801.56</v>
      </c>
      <c r="D88" s="280" t="s">
        <v>37</v>
      </c>
    </row>
    <row r="89" spans="1:4" ht="12.75">
      <c r="A89" s="277"/>
      <c r="B89" s="277"/>
      <c r="C89" s="281">
        <v>920.31</v>
      </c>
      <c r="D89" s="280" t="s">
        <v>206</v>
      </c>
    </row>
    <row r="90" spans="1:4" ht="12.75">
      <c r="A90" s="277"/>
      <c r="B90" s="277"/>
      <c r="C90" s="281">
        <v>727.34</v>
      </c>
      <c r="D90" s="280" t="s">
        <v>207</v>
      </c>
    </row>
    <row r="91" spans="1:4" ht="12.75">
      <c r="A91" s="277"/>
      <c r="B91" s="277"/>
      <c r="C91" s="281">
        <v>801.56</v>
      </c>
      <c r="D91" s="280" t="s">
        <v>208</v>
      </c>
    </row>
    <row r="92" spans="1:4" ht="12.75">
      <c r="A92" s="277"/>
      <c r="B92" s="277"/>
      <c r="C92" s="281">
        <v>742.19</v>
      </c>
      <c r="D92" s="280" t="s">
        <v>209</v>
      </c>
    </row>
    <row r="93" spans="1:4" ht="12.75">
      <c r="A93" s="277"/>
      <c r="B93" s="277"/>
      <c r="C93" s="281">
        <v>742.19</v>
      </c>
      <c r="D93" s="280" t="s">
        <v>210</v>
      </c>
    </row>
    <row r="94" spans="1:4" ht="12.75">
      <c r="A94" s="277"/>
      <c r="B94" s="277"/>
      <c r="C94" s="281">
        <v>653.13</v>
      </c>
      <c r="D94" s="280" t="s">
        <v>38</v>
      </c>
    </row>
    <row r="95" spans="1:4" ht="12.75">
      <c r="A95" s="277"/>
      <c r="B95" s="277"/>
      <c r="C95" s="281">
        <v>742.19</v>
      </c>
      <c r="D95" s="280" t="s">
        <v>39</v>
      </c>
    </row>
    <row r="96" spans="1:4" ht="12.75">
      <c r="A96" s="277"/>
      <c r="B96" s="277"/>
      <c r="C96" s="281">
        <v>475</v>
      </c>
      <c r="D96" s="280" t="s">
        <v>40</v>
      </c>
    </row>
    <row r="97" spans="1:4" ht="12.75">
      <c r="A97" s="277"/>
      <c r="B97" s="277"/>
      <c r="C97" s="281">
        <v>504.69</v>
      </c>
      <c r="D97" s="280" t="s">
        <v>211</v>
      </c>
    </row>
    <row r="98" spans="1:4" ht="12.75">
      <c r="A98" s="277"/>
      <c r="B98" s="277"/>
      <c r="C98" s="281">
        <v>519.53</v>
      </c>
      <c r="D98" s="280" t="s">
        <v>212</v>
      </c>
    </row>
    <row r="99" spans="1:4" ht="12.75">
      <c r="A99" s="277"/>
      <c r="B99" s="277"/>
      <c r="C99" s="281">
        <v>742.19</v>
      </c>
      <c r="D99" s="280" t="s">
        <v>213</v>
      </c>
    </row>
    <row r="100" spans="1:4" ht="12.75">
      <c r="A100" s="277"/>
      <c r="B100" s="277"/>
      <c r="C100" s="281">
        <v>504.69</v>
      </c>
      <c r="D100" s="280" t="s">
        <v>214</v>
      </c>
    </row>
    <row r="101" spans="1:4" ht="12.75">
      <c r="A101" s="277"/>
      <c r="B101" s="277"/>
      <c r="C101" s="281">
        <v>475</v>
      </c>
      <c r="D101" s="280" t="s">
        <v>215</v>
      </c>
    </row>
    <row r="102" spans="1:4" ht="12.75">
      <c r="A102" s="277"/>
      <c r="B102" s="277"/>
      <c r="C102" s="281">
        <v>653.13</v>
      </c>
      <c r="D102" s="280" t="s">
        <v>216</v>
      </c>
    </row>
    <row r="103" spans="1:4" ht="12.75">
      <c r="A103" s="277"/>
      <c r="B103" s="277"/>
      <c r="C103" s="281">
        <v>682.81</v>
      </c>
      <c r="D103" s="280" t="s">
        <v>217</v>
      </c>
    </row>
    <row r="104" spans="1:4" ht="12.75">
      <c r="A104" s="277"/>
      <c r="B104" s="277"/>
      <c r="C104" s="281">
        <v>742.19</v>
      </c>
      <c r="D104" s="280" t="s">
        <v>218</v>
      </c>
    </row>
    <row r="105" spans="1:4" ht="12.75">
      <c r="A105" s="277"/>
      <c r="B105" s="277"/>
      <c r="C105" s="281">
        <v>415.63</v>
      </c>
      <c r="D105" s="280" t="s">
        <v>219</v>
      </c>
    </row>
    <row r="106" spans="1:4" ht="12.75">
      <c r="A106" s="277"/>
      <c r="B106" s="277"/>
      <c r="C106" s="281">
        <v>415.63</v>
      </c>
      <c r="D106" s="280" t="s">
        <v>42</v>
      </c>
    </row>
    <row r="107" spans="1:4" ht="12.75">
      <c r="A107" s="277"/>
      <c r="B107" s="277"/>
      <c r="C107" s="281">
        <v>415.63</v>
      </c>
      <c r="D107" s="280" t="s">
        <v>220</v>
      </c>
    </row>
    <row r="108" spans="1:4" ht="13.5" thickBot="1">
      <c r="A108" s="282"/>
      <c r="B108" s="282"/>
      <c r="C108" s="283">
        <v>415.63</v>
      </c>
      <c r="D108" s="284" t="s">
        <v>221</v>
      </c>
    </row>
    <row r="111" spans="1:8" ht="15.75">
      <c r="A111" s="590" t="s">
        <v>333</v>
      </c>
      <c r="B111" s="590"/>
      <c r="C111" s="590"/>
      <c r="D111" s="475"/>
      <c r="E111" s="475"/>
      <c r="F111" s="475"/>
      <c r="G111" s="475"/>
      <c r="H111" s="475"/>
    </row>
    <row r="112" spans="1:8" ht="12.75">
      <c r="A112" s="496"/>
      <c r="B112" s="496"/>
      <c r="C112" s="496"/>
      <c r="D112" s="496"/>
      <c r="E112" s="496"/>
      <c r="F112" s="496"/>
      <c r="G112" s="496"/>
      <c r="H112" s="491"/>
    </row>
    <row r="113" spans="1:8" ht="12.75">
      <c r="A113" s="496"/>
      <c r="B113" s="496"/>
      <c r="C113" s="496"/>
      <c r="D113" s="496"/>
      <c r="E113" s="496"/>
      <c r="F113" s="496"/>
      <c r="G113" s="496"/>
      <c r="H113" s="495"/>
    </row>
    <row r="114" spans="1:8" ht="12.75">
      <c r="A114" s="496"/>
      <c r="B114" s="496"/>
      <c r="C114" s="496"/>
      <c r="D114" s="496"/>
      <c r="E114" s="496"/>
      <c r="F114" s="496"/>
      <c r="G114" s="496"/>
      <c r="H114" s="495"/>
    </row>
    <row r="115" spans="1:8" ht="12.75">
      <c r="A115" s="496"/>
      <c r="B115" s="496"/>
      <c r="C115" s="496"/>
      <c r="D115" s="496"/>
      <c r="E115" s="496"/>
      <c r="F115" s="496"/>
      <c r="G115" s="496"/>
      <c r="H115" s="495"/>
    </row>
    <row r="116" spans="1:8" ht="12.75">
      <c r="A116" s="496"/>
      <c r="B116" s="496"/>
      <c r="C116" s="496"/>
      <c r="D116" s="496"/>
      <c r="E116" s="496"/>
      <c r="F116" s="496"/>
      <c r="G116" s="496"/>
      <c r="H116" s="495"/>
    </row>
    <row r="117" spans="1:8" ht="12.75">
      <c r="A117" s="496"/>
      <c r="B117" s="496"/>
      <c r="C117" s="496"/>
      <c r="D117" s="496"/>
      <c r="E117" s="496"/>
      <c r="F117" s="496"/>
      <c r="G117" s="496"/>
      <c r="H117" s="495"/>
    </row>
    <row r="118" spans="1:8" ht="12.75">
      <c r="A118" s="496"/>
      <c r="B118" s="496"/>
      <c r="C118" s="496"/>
      <c r="D118" s="496"/>
      <c r="E118" s="496"/>
      <c r="F118" s="496"/>
      <c r="G118" s="496"/>
      <c r="H118" s="495"/>
    </row>
    <row r="119" spans="1:8" ht="12.75">
      <c r="A119" s="496"/>
      <c r="B119" s="496"/>
      <c r="C119" s="496"/>
      <c r="D119" s="496"/>
      <c r="E119" s="496"/>
      <c r="F119" s="496"/>
      <c r="G119" s="496"/>
      <c r="H119" s="495"/>
    </row>
    <row r="120" spans="1:9" ht="15">
      <c r="A120" s="496"/>
      <c r="B120" s="496"/>
      <c r="C120" s="496"/>
      <c r="D120" s="496"/>
      <c r="E120" s="496"/>
      <c r="F120" s="496"/>
      <c r="G120" s="496"/>
      <c r="H120" s="500">
        <f>SUM(A112:G112)+(SUM(A113:G113)+SUM(A114:G114))+SUM(A115:G115)+SUM(A116:G116)+SUM(A117:G117)+SUM(A118:G118)+SUM(A119:G119)+SUM(A120:G120)</f>
        <v>0</v>
      </c>
      <c r="I120" s="4"/>
    </row>
    <row r="121" spans="8:9" ht="15">
      <c r="H121" s="4"/>
      <c r="I121" s="4"/>
    </row>
    <row r="122" spans="8:9" ht="15">
      <c r="H122" s="4"/>
      <c r="I122" s="4"/>
    </row>
    <row r="123" spans="1:9" ht="15.75">
      <c r="A123" s="472" t="s">
        <v>304</v>
      </c>
      <c r="B123" s="472"/>
      <c r="C123" s="472"/>
      <c r="D123" s="475"/>
      <c r="E123" s="475"/>
      <c r="F123" s="475"/>
      <c r="G123" s="475"/>
      <c r="H123" s="501"/>
      <c r="I123" s="502"/>
    </row>
    <row r="124" spans="1:9" ht="15.75">
      <c r="A124" s="470" t="s">
        <v>305</v>
      </c>
      <c r="B124" s="471"/>
      <c r="C124" s="471"/>
      <c r="D124" s="471"/>
      <c r="E124" s="471"/>
      <c r="F124" s="471"/>
      <c r="G124" s="612"/>
      <c r="H124" s="501"/>
      <c r="I124" s="502"/>
    </row>
    <row r="125" spans="1:9" ht="15.75">
      <c r="A125" s="496"/>
      <c r="B125" s="496"/>
      <c r="C125" s="496"/>
      <c r="D125" s="496"/>
      <c r="E125" s="496"/>
      <c r="F125" s="496"/>
      <c r="G125" s="496"/>
      <c r="H125" s="487"/>
      <c r="I125" s="502"/>
    </row>
    <row r="126" spans="1:9" ht="15.75">
      <c r="A126" s="496"/>
      <c r="B126" s="496"/>
      <c r="C126" s="496"/>
      <c r="D126" s="496"/>
      <c r="E126" s="496"/>
      <c r="F126" s="496"/>
      <c r="G126" s="496"/>
      <c r="H126" s="487"/>
      <c r="I126" s="502"/>
    </row>
    <row r="127" spans="1:9" ht="15.75">
      <c r="A127" s="496"/>
      <c r="B127" s="496"/>
      <c r="C127" s="496"/>
      <c r="D127" s="496"/>
      <c r="E127" s="496"/>
      <c r="F127" s="496"/>
      <c r="G127" s="496"/>
      <c r="H127" s="503">
        <f>SUM(A125:G125)+(SUM(A126:G126)+SUM(A127:G127))</f>
        <v>0</v>
      </c>
      <c r="I127" s="504" t="str">
        <f>IF(AND(H127&gt;0,H127&lt;=95),"A",IF(AND(H127&gt;95,H127&lt;=110),"B",IF(AND(H127&gt;110,H127&lt;=130),"C",IF(AND(H127&gt;130,H127&lt;=160),"D",IF(H127&gt;160,"E","ND")))))</f>
        <v>ND</v>
      </c>
    </row>
    <row r="128" spans="1:9" ht="15.75">
      <c r="A128" s="483"/>
      <c r="B128" s="483"/>
      <c r="C128" s="483"/>
      <c r="D128" s="483"/>
      <c r="E128" s="484"/>
      <c r="F128" s="484"/>
      <c r="G128" s="484"/>
      <c r="H128" s="487"/>
      <c r="I128" s="502"/>
    </row>
    <row r="129" spans="1:9" ht="15.75">
      <c r="A129" s="470" t="s">
        <v>306</v>
      </c>
      <c r="B129" s="471"/>
      <c r="C129" s="471"/>
      <c r="D129" s="483"/>
      <c r="E129" s="484"/>
      <c r="F129" s="484"/>
      <c r="G129" s="484"/>
      <c r="H129" s="487"/>
      <c r="I129" s="502"/>
    </row>
    <row r="130" spans="1:9" ht="15.75">
      <c r="A130" s="496"/>
      <c r="B130" s="496"/>
      <c r="C130" s="496"/>
      <c r="D130" s="496"/>
      <c r="E130" s="496"/>
      <c r="F130" s="496"/>
      <c r="G130" s="496"/>
      <c r="H130" s="487"/>
      <c r="I130" s="502"/>
    </row>
    <row r="131" spans="1:9" ht="15.75">
      <c r="A131" s="496"/>
      <c r="B131" s="496"/>
      <c r="C131" s="496"/>
      <c r="D131" s="496"/>
      <c r="E131" s="496"/>
      <c r="F131" s="496"/>
      <c r="G131" s="496"/>
      <c r="H131" s="487"/>
      <c r="I131" s="502"/>
    </row>
    <row r="132" spans="1:9" ht="15.75">
      <c r="A132" s="496"/>
      <c r="B132" s="496"/>
      <c r="C132" s="496"/>
      <c r="D132" s="496"/>
      <c r="E132" s="496"/>
      <c r="F132" s="496"/>
      <c r="G132" s="496"/>
      <c r="H132" s="503">
        <f>SUM(A130:G130)+(SUM(A131:G131)+SUM(A132:G132))</f>
        <v>0</v>
      </c>
      <c r="I132" s="502"/>
    </row>
    <row r="133" spans="1:9" ht="15.75">
      <c r="A133" s="483"/>
      <c r="B133" s="483"/>
      <c r="C133" s="483"/>
      <c r="D133" s="483"/>
      <c r="E133" s="484"/>
      <c r="F133" s="484"/>
      <c r="G133" s="484"/>
      <c r="H133" s="487"/>
      <c r="I133" s="502"/>
    </row>
    <row r="134" spans="1:9" ht="15.75">
      <c r="A134" s="483"/>
      <c r="B134" s="483"/>
      <c r="C134" s="483"/>
      <c r="D134" s="483"/>
      <c r="E134" s="484"/>
      <c r="F134" s="484"/>
      <c r="G134" s="484"/>
      <c r="H134" s="487"/>
      <c r="I134" s="502"/>
    </row>
    <row r="135" spans="1:9" ht="15.75">
      <c r="A135" s="472" t="s">
        <v>307</v>
      </c>
      <c r="B135" s="472"/>
      <c r="C135" s="472"/>
      <c r="D135" s="485"/>
      <c r="E135" s="486"/>
      <c r="F135" s="486"/>
      <c r="G135" s="486"/>
      <c r="H135" s="487"/>
      <c r="I135" s="502"/>
    </row>
    <row r="136" spans="1:9" ht="15.75">
      <c r="A136" s="580"/>
      <c r="B136" s="581"/>
      <c r="C136" s="581"/>
      <c r="D136" s="581"/>
      <c r="E136" s="581"/>
      <c r="F136" s="581"/>
      <c r="G136" s="582"/>
      <c r="H136" s="487"/>
      <c r="I136" s="502"/>
    </row>
    <row r="137" spans="1:9" ht="15.75">
      <c r="A137" s="470" t="s">
        <v>305</v>
      </c>
      <c r="B137" s="471"/>
      <c r="C137" s="471"/>
      <c r="D137" s="479"/>
      <c r="E137" s="480"/>
      <c r="F137" s="480"/>
      <c r="G137" s="480"/>
      <c r="H137" s="505"/>
      <c r="I137" s="502"/>
    </row>
    <row r="138" spans="1:9" ht="15.75">
      <c r="A138" s="496">
        <v>0</v>
      </c>
      <c r="B138" s="496">
        <v>0</v>
      </c>
      <c r="C138" s="496"/>
      <c r="D138" s="496"/>
      <c r="E138" s="496"/>
      <c r="F138" s="496"/>
      <c r="G138" s="496"/>
      <c r="H138" s="487"/>
      <c r="I138" s="502"/>
    </row>
    <row r="139" spans="1:9" ht="15.75">
      <c r="A139" s="496">
        <v>0</v>
      </c>
      <c r="B139" s="496">
        <v>0</v>
      </c>
      <c r="C139" s="496"/>
      <c r="D139" s="496"/>
      <c r="E139" s="496"/>
      <c r="F139" s="496"/>
      <c r="G139" s="496"/>
      <c r="H139" s="487"/>
      <c r="I139" s="502"/>
    </row>
    <row r="140" spans="1:9" ht="15.75">
      <c r="A140" s="496">
        <v>0</v>
      </c>
      <c r="B140" s="496">
        <v>0</v>
      </c>
      <c r="C140" s="496"/>
      <c r="D140" s="496"/>
      <c r="E140" s="496"/>
      <c r="F140" s="496"/>
      <c r="G140" s="496"/>
      <c r="H140" s="503">
        <f>SUM(A138:G138)+(SUM(A139:G139)+SUM(A140:G140))</f>
        <v>0</v>
      </c>
      <c r="I140" s="504" t="str">
        <f>IF(AND(H140&gt;0,H140&lt;=95),"A",IF(AND(H140&gt;95,H140&lt;=110),"B",IF(AND(H140&gt;110,H140&lt;=130),"C",IF(AND(H140&gt;130,H140&lt;=160),"D",IF(H140&gt;160,"E","ND")))))</f>
        <v>ND</v>
      </c>
    </row>
    <row r="141" spans="1:9" ht="15.75">
      <c r="A141" s="483"/>
      <c r="B141" s="483"/>
      <c r="C141" s="483"/>
      <c r="D141" s="483"/>
      <c r="E141" s="484"/>
      <c r="F141" s="484"/>
      <c r="G141" s="484"/>
      <c r="H141" s="487"/>
      <c r="I141" s="502"/>
    </row>
    <row r="142" spans="1:9" ht="15.75">
      <c r="A142" s="470" t="s">
        <v>306</v>
      </c>
      <c r="B142" s="471"/>
      <c r="C142" s="471"/>
      <c r="D142" s="483"/>
      <c r="E142" s="484"/>
      <c r="F142" s="484"/>
      <c r="G142" s="484"/>
      <c r="H142" s="487"/>
      <c r="I142" s="502"/>
    </row>
    <row r="143" spans="1:9" ht="15.75">
      <c r="A143" s="496">
        <v>0</v>
      </c>
      <c r="B143" s="496">
        <v>0</v>
      </c>
      <c r="C143" s="496"/>
      <c r="D143" s="496"/>
      <c r="E143" s="496"/>
      <c r="F143" s="496"/>
      <c r="G143" s="496"/>
      <c r="H143" s="487"/>
      <c r="I143" s="502"/>
    </row>
    <row r="144" spans="1:9" ht="15.75">
      <c r="A144" s="496">
        <v>0</v>
      </c>
      <c r="B144" s="496"/>
      <c r="C144" s="496"/>
      <c r="D144" s="496"/>
      <c r="E144" s="496"/>
      <c r="F144" s="496"/>
      <c r="G144" s="496"/>
      <c r="H144" s="487"/>
      <c r="I144" s="502"/>
    </row>
    <row r="145" spans="1:9" ht="15.75">
      <c r="A145" s="496"/>
      <c r="B145" s="496"/>
      <c r="C145" s="496"/>
      <c r="D145" s="496"/>
      <c r="E145" s="496"/>
      <c r="F145" s="496"/>
      <c r="G145" s="496"/>
      <c r="H145" s="503">
        <f>SUM(A143:G143)+(SUM(A144:G144)+SUM(A145:G145))</f>
        <v>0</v>
      </c>
      <c r="I145" s="502"/>
    </row>
    <row r="146" spans="1:9" ht="15.75">
      <c r="A146" s="483"/>
      <c r="B146" s="483"/>
      <c r="C146" s="483"/>
      <c r="D146" s="483"/>
      <c r="E146" s="484"/>
      <c r="F146" s="484"/>
      <c r="G146" s="484"/>
      <c r="H146" s="487"/>
      <c r="I146" s="502"/>
    </row>
    <row r="147" spans="1:9" ht="15.75">
      <c r="A147" s="478"/>
      <c r="B147" s="475"/>
      <c r="C147" s="475"/>
      <c r="D147" s="475"/>
      <c r="E147" s="475"/>
      <c r="F147" s="475"/>
      <c r="G147" s="475"/>
      <c r="H147" s="501"/>
      <c r="I147" s="502"/>
    </row>
    <row r="148" spans="1:9" ht="15.75">
      <c r="A148" s="472" t="s">
        <v>308</v>
      </c>
      <c r="B148" s="472"/>
      <c r="C148" s="472"/>
      <c r="D148" s="475"/>
      <c r="E148" s="475"/>
      <c r="F148" s="475"/>
      <c r="G148" s="475"/>
      <c r="H148" s="501"/>
      <c r="I148" s="502"/>
    </row>
    <row r="149" spans="1:9" ht="15.75">
      <c r="A149" s="583"/>
      <c r="B149" s="584"/>
      <c r="C149" s="584"/>
      <c r="D149" s="584"/>
      <c r="E149" s="584"/>
      <c r="F149" s="584"/>
      <c r="G149" s="585"/>
      <c r="H149" s="501"/>
      <c r="I149" s="502"/>
    </row>
    <row r="150" spans="1:9" ht="15.75">
      <c r="A150" s="470" t="s">
        <v>305</v>
      </c>
      <c r="B150" s="471"/>
      <c r="C150" s="471"/>
      <c r="D150" s="479"/>
      <c r="E150" s="480"/>
      <c r="F150" s="480"/>
      <c r="G150" s="480"/>
      <c r="H150" s="505"/>
      <c r="I150" s="502"/>
    </row>
    <row r="151" spans="1:9" ht="15.75">
      <c r="A151" s="496"/>
      <c r="B151" s="496"/>
      <c r="C151" s="496"/>
      <c r="D151" s="496"/>
      <c r="E151" s="496"/>
      <c r="F151" s="496"/>
      <c r="G151" s="496"/>
      <c r="H151" s="487"/>
      <c r="I151" s="502"/>
    </row>
    <row r="152" spans="1:9" ht="15.75">
      <c r="A152" s="496"/>
      <c r="B152" s="496"/>
      <c r="C152" s="496"/>
      <c r="D152" s="496"/>
      <c r="E152" s="496"/>
      <c r="F152" s="496"/>
      <c r="G152" s="496"/>
      <c r="H152" s="487"/>
      <c r="I152" s="502"/>
    </row>
    <row r="153" spans="1:9" ht="15.75">
      <c r="A153" s="496"/>
      <c r="B153" s="496"/>
      <c r="C153" s="496"/>
      <c r="D153" s="496"/>
      <c r="E153" s="496"/>
      <c r="F153" s="496"/>
      <c r="G153" s="496"/>
      <c r="H153" s="503">
        <f>SUM(A151:G151)+(SUM(A152:G152)+SUM(A153:G153))</f>
        <v>0</v>
      </c>
      <c r="I153" s="504" t="str">
        <f>IF(AND(H153&gt;0,H153&lt;=95),"A",IF(AND(H153&gt;95,H153&lt;=110),"B",IF(AND(H153&gt;110,H153&lt;=130),"C",IF(AND(H153&gt;130,H153&lt;=160),"D",IF(H153&gt;160,"E","ND")))))</f>
        <v>ND</v>
      </c>
    </row>
    <row r="154" spans="1:9" ht="15.75">
      <c r="A154" s="483"/>
      <c r="B154" s="483"/>
      <c r="C154" s="483"/>
      <c r="D154" s="483"/>
      <c r="E154" s="484"/>
      <c r="F154" s="484"/>
      <c r="G154" s="484"/>
      <c r="H154" s="487"/>
      <c r="I154" s="502"/>
    </row>
    <row r="155" spans="1:9" ht="15.75">
      <c r="A155" s="470" t="s">
        <v>306</v>
      </c>
      <c r="B155" s="471"/>
      <c r="C155" s="471"/>
      <c r="D155" s="483"/>
      <c r="E155" s="484"/>
      <c r="F155" s="484"/>
      <c r="G155" s="484"/>
      <c r="H155" s="487"/>
      <c r="I155" s="502"/>
    </row>
    <row r="156" spans="1:9" ht="15.75">
      <c r="A156" s="496">
        <v>0</v>
      </c>
      <c r="B156" s="496"/>
      <c r="C156" s="496"/>
      <c r="D156" s="496"/>
      <c r="E156" s="496"/>
      <c r="F156" s="496"/>
      <c r="G156" s="496"/>
      <c r="H156" s="487"/>
      <c r="I156" s="502"/>
    </row>
    <row r="157" spans="1:9" ht="15.75">
      <c r="A157" s="496">
        <v>0</v>
      </c>
      <c r="B157" s="496"/>
      <c r="C157" s="496"/>
      <c r="D157" s="496"/>
      <c r="E157" s="496"/>
      <c r="F157" s="496"/>
      <c r="G157" s="496"/>
      <c r="H157" s="487"/>
      <c r="I157" s="502"/>
    </row>
    <row r="158" spans="1:9" ht="15.75">
      <c r="A158" s="496">
        <v>0</v>
      </c>
      <c r="B158" s="496"/>
      <c r="C158" s="496"/>
      <c r="D158" s="496"/>
      <c r="E158" s="496"/>
      <c r="F158" s="496"/>
      <c r="G158" s="496"/>
      <c r="H158" s="503">
        <f>SUM(A156:G156)+(SUM(A157:G157)+SUM(A158:G158))</f>
        <v>0</v>
      </c>
      <c r="I158" s="502"/>
    </row>
    <row r="159" spans="1:9" ht="15.75">
      <c r="A159" s="483"/>
      <c r="B159" s="483"/>
      <c r="C159" s="483"/>
      <c r="D159" s="483"/>
      <c r="E159" s="484"/>
      <c r="F159" s="484"/>
      <c r="G159" s="484"/>
      <c r="H159" s="487"/>
      <c r="I159" s="502"/>
    </row>
    <row r="160" spans="1:9" ht="15.75">
      <c r="A160" s="483"/>
      <c r="B160" s="483"/>
      <c r="C160" s="483"/>
      <c r="D160" s="483"/>
      <c r="E160" s="484"/>
      <c r="F160" s="484"/>
      <c r="G160" s="484"/>
      <c r="H160" s="487"/>
      <c r="I160" s="502"/>
    </row>
    <row r="161" spans="1:9" ht="15.75">
      <c r="A161" s="472" t="s">
        <v>309</v>
      </c>
      <c r="B161" s="472"/>
      <c r="C161" s="472"/>
      <c r="D161" s="485"/>
      <c r="E161" s="486"/>
      <c r="F161" s="486"/>
      <c r="G161" s="486"/>
      <c r="H161" s="487"/>
      <c r="I161" s="502"/>
    </row>
    <row r="162" spans="1:9" ht="15.75">
      <c r="A162" s="580"/>
      <c r="B162" s="581"/>
      <c r="C162" s="581"/>
      <c r="D162" s="581"/>
      <c r="E162" s="581"/>
      <c r="F162" s="581"/>
      <c r="G162" s="582"/>
      <c r="H162" s="487"/>
      <c r="I162" s="502"/>
    </row>
    <row r="163" spans="1:9" ht="15.75">
      <c r="A163" s="470" t="s">
        <v>305</v>
      </c>
      <c r="B163" s="471"/>
      <c r="C163" s="471"/>
      <c r="D163" s="479"/>
      <c r="E163" s="480"/>
      <c r="F163" s="480"/>
      <c r="G163" s="480"/>
      <c r="H163" s="505"/>
      <c r="I163" s="502"/>
    </row>
    <row r="164" spans="1:9" ht="15.75">
      <c r="A164" s="496">
        <v>0</v>
      </c>
      <c r="B164" s="496">
        <v>0</v>
      </c>
      <c r="C164" s="496">
        <v>0</v>
      </c>
      <c r="D164" s="496"/>
      <c r="E164" s="496"/>
      <c r="F164" s="496"/>
      <c r="G164" s="496"/>
      <c r="H164" s="487"/>
      <c r="I164" s="502"/>
    </row>
    <row r="165" spans="1:9" ht="15.75">
      <c r="A165" s="496">
        <v>0</v>
      </c>
      <c r="B165" s="496">
        <v>0</v>
      </c>
      <c r="C165" s="496">
        <v>0</v>
      </c>
      <c r="D165" s="496"/>
      <c r="E165" s="496"/>
      <c r="F165" s="496"/>
      <c r="G165" s="496"/>
      <c r="H165" s="487"/>
      <c r="I165" s="502"/>
    </row>
    <row r="166" spans="1:9" ht="15.75">
      <c r="A166" s="496">
        <v>0</v>
      </c>
      <c r="B166" s="496">
        <v>0</v>
      </c>
      <c r="C166" s="496"/>
      <c r="D166" s="496"/>
      <c r="E166" s="496"/>
      <c r="F166" s="496"/>
      <c r="G166" s="496"/>
      <c r="H166" s="503">
        <f>SUM(A164:G164)+(SUM(A165:G165)+SUM(A166:G166))</f>
        <v>0</v>
      </c>
      <c r="I166" s="504" t="str">
        <f>IF(AND(H166&gt;0,H166&lt;=95),"A",IF(AND(H166&gt;95,H166&lt;=110),"B",IF(AND(H166&gt;110,H166&lt;=130),"C",IF(AND(H166&gt;130,H166&lt;=160),"D",IF(H166&gt;160,"E","ND")))))</f>
        <v>ND</v>
      </c>
    </row>
    <row r="167" spans="1:9" ht="15.75">
      <c r="A167" s="483"/>
      <c r="B167" s="483"/>
      <c r="C167" s="483"/>
      <c r="D167" s="483"/>
      <c r="E167" s="484"/>
      <c r="F167" s="484"/>
      <c r="G167" s="484"/>
      <c r="H167" s="487"/>
      <c r="I167" s="502"/>
    </row>
    <row r="168" spans="1:9" ht="15.75">
      <c r="A168" s="470" t="s">
        <v>306</v>
      </c>
      <c r="B168" s="471"/>
      <c r="C168" s="471"/>
      <c r="D168" s="483"/>
      <c r="E168" s="484"/>
      <c r="F168" s="484"/>
      <c r="G168" s="484"/>
      <c r="H168" s="487"/>
      <c r="I168" s="502"/>
    </row>
    <row r="169" spans="1:9" ht="15.75">
      <c r="A169" s="496"/>
      <c r="B169" s="496">
        <v>0</v>
      </c>
      <c r="C169" s="496"/>
      <c r="D169" s="496"/>
      <c r="E169" s="496"/>
      <c r="F169" s="496"/>
      <c r="G169" s="496"/>
      <c r="H169" s="487"/>
      <c r="I169" s="502"/>
    </row>
    <row r="170" spans="1:9" ht="15.75">
      <c r="A170" s="496">
        <v>0</v>
      </c>
      <c r="B170" s="496"/>
      <c r="C170" s="496"/>
      <c r="D170" s="496"/>
      <c r="E170" s="496"/>
      <c r="F170" s="496"/>
      <c r="G170" s="496"/>
      <c r="H170" s="487"/>
      <c r="I170" s="502"/>
    </row>
    <row r="171" spans="1:9" ht="15.75">
      <c r="A171" s="496">
        <v>0</v>
      </c>
      <c r="B171" s="496"/>
      <c r="C171" s="496"/>
      <c r="D171" s="496"/>
      <c r="E171" s="496"/>
      <c r="F171" s="496"/>
      <c r="G171" s="496"/>
      <c r="H171" s="503">
        <f>SUM(A169:G169)+(SUM(A170:G170)+SUM(A171:G171))</f>
        <v>0</v>
      </c>
      <c r="I171" s="502"/>
    </row>
    <row r="172" spans="1:9" ht="15.75">
      <c r="A172" s="483"/>
      <c r="B172" s="483"/>
      <c r="C172" s="483"/>
      <c r="D172" s="483"/>
      <c r="E172" s="484"/>
      <c r="F172" s="484"/>
      <c r="G172" s="484"/>
      <c r="H172" s="487"/>
      <c r="I172" s="502"/>
    </row>
    <row r="173" spans="1:9" ht="15.75">
      <c r="A173" s="478"/>
      <c r="B173" s="475"/>
      <c r="C173" s="475"/>
      <c r="D173" s="475"/>
      <c r="E173" s="475"/>
      <c r="F173" s="475"/>
      <c r="G173" s="475"/>
      <c r="H173" s="501"/>
      <c r="I173" s="502"/>
    </row>
    <row r="174" spans="1:9" ht="15.75">
      <c r="A174" s="472" t="s">
        <v>310</v>
      </c>
      <c r="B174" s="472"/>
      <c r="C174" s="472"/>
      <c r="D174" s="475"/>
      <c r="E174" s="475"/>
      <c r="F174" s="475"/>
      <c r="G174" s="475"/>
      <c r="H174" s="501"/>
      <c r="I174" s="502"/>
    </row>
    <row r="175" spans="1:9" ht="15.75">
      <c r="A175" s="583"/>
      <c r="B175" s="584"/>
      <c r="C175" s="584"/>
      <c r="D175" s="584"/>
      <c r="E175" s="584"/>
      <c r="F175" s="584"/>
      <c r="G175" s="585"/>
      <c r="H175" s="501"/>
      <c r="I175" s="502"/>
    </row>
    <row r="176" spans="1:9" ht="15.75">
      <c r="A176" s="470" t="s">
        <v>305</v>
      </c>
      <c r="B176" s="471"/>
      <c r="C176" s="471"/>
      <c r="D176" s="479"/>
      <c r="E176" s="480"/>
      <c r="F176" s="480"/>
      <c r="G176" s="480"/>
      <c r="H176" s="505"/>
      <c r="I176" s="502"/>
    </row>
    <row r="177" spans="1:9" ht="15.75">
      <c r="A177" s="496"/>
      <c r="B177" s="496"/>
      <c r="C177" s="496"/>
      <c r="D177" s="496"/>
      <c r="E177" s="496"/>
      <c r="F177" s="496"/>
      <c r="G177" s="496"/>
      <c r="H177" s="487"/>
      <c r="I177" s="502"/>
    </row>
    <row r="178" spans="1:9" ht="15.75">
      <c r="A178" s="496"/>
      <c r="B178" s="496"/>
      <c r="C178" s="496"/>
      <c r="D178" s="496"/>
      <c r="E178" s="496"/>
      <c r="F178" s="496"/>
      <c r="G178" s="496"/>
      <c r="H178" s="487"/>
      <c r="I178" s="502"/>
    </row>
    <row r="179" spans="1:9" ht="15.75">
      <c r="A179" s="496"/>
      <c r="B179" s="496"/>
      <c r="C179" s="496"/>
      <c r="D179" s="496"/>
      <c r="E179" s="496"/>
      <c r="F179" s="496"/>
      <c r="G179" s="496"/>
      <c r="H179" s="503">
        <f>SUM(A177:G177)+(SUM(A178:G178)+SUM(A179:G179))</f>
        <v>0</v>
      </c>
      <c r="I179" s="504" t="str">
        <f>IF(AND(H179&gt;0,H179&lt;=95),"A",IF(AND(H179&gt;95,H179&lt;=110),"B",IF(AND(H179&gt;110,H179&lt;=130),"C",IF(AND(H179&gt;130,H179&lt;=160),"D",IF(H179&gt;160,"E","ND")))))</f>
        <v>ND</v>
      </c>
    </row>
    <row r="180" spans="1:9" ht="15.75">
      <c r="A180" s="483"/>
      <c r="B180" s="483"/>
      <c r="C180" s="483"/>
      <c r="D180" s="483"/>
      <c r="E180" s="484"/>
      <c r="F180" s="484"/>
      <c r="G180" s="484"/>
      <c r="H180" s="487"/>
      <c r="I180" s="502"/>
    </row>
    <row r="181" spans="1:9" ht="15.75">
      <c r="A181" s="470" t="s">
        <v>306</v>
      </c>
      <c r="B181" s="471"/>
      <c r="C181" s="471"/>
      <c r="D181" s="483"/>
      <c r="E181" s="484"/>
      <c r="F181" s="484"/>
      <c r="G181" s="484"/>
      <c r="H181" s="487"/>
      <c r="I181" s="502"/>
    </row>
    <row r="182" spans="1:9" ht="15.75">
      <c r="A182" s="496"/>
      <c r="B182" s="496"/>
      <c r="C182" s="496"/>
      <c r="D182" s="496"/>
      <c r="E182" s="496"/>
      <c r="F182" s="496"/>
      <c r="G182" s="496"/>
      <c r="H182" s="487"/>
      <c r="I182" s="502"/>
    </row>
    <row r="183" spans="1:9" ht="15.75">
      <c r="A183" s="496"/>
      <c r="B183" s="496"/>
      <c r="C183" s="496"/>
      <c r="D183" s="496"/>
      <c r="E183" s="496"/>
      <c r="F183" s="496"/>
      <c r="G183" s="496"/>
      <c r="H183" s="487"/>
      <c r="I183" s="502"/>
    </row>
    <row r="184" spans="1:9" ht="15.75">
      <c r="A184" s="496"/>
      <c r="B184" s="496"/>
      <c r="C184" s="496"/>
      <c r="D184" s="496"/>
      <c r="E184" s="496"/>
      <c r="F184" s="496"/>
      <c r="G184" s="496"/>
      <c r="H184" s="503">
        <f>SUM(A182:G182)+(SUM(A183:G183)+SUM(A184:G184))</f>
        <v>0</v>
      </c>
      <c r="I184" s="502"/>
    </row>
    <row r="185" spans="1:9" ht="15.75">
      <c r="A185" s="483"/>
      <c r="B185" s="483"/>
      <c r="C185" s="483"/>
      <c r="D185" s="483"/>
      <c r="E185" s="484"/>
      <c r="F185" s="484"/>
      <c r="G185" s="484"/>
      <c r="H185" s="487"/>
      <c r="I185" s="502"/>
    </row>
    <row r="186" spans="1:9" ht="15.75">
      <c r="A186" s="483"/>
      <c r="B186" s="483"/>
      <c r="C186" s="483"/>
      <c r="D186" s="483"/>
      <c r="E186" s="484"/>
      <c r="F186" s="484"/>
      <c r="G186" s="484"/>
      <c r="H186" s="487"/>
      <c r="I186" s="502"/>
    </row>
    <row r="187" spans="1:9" ht="15.75">
      <c r="A187" s="472" t="s">
        <v>311</v>
      </c>
      <c r="B187" s="472"/>
      <c r="C187" s="472"/>
      <c r="D187" s="485"/>
      <c r="E187" s="486"/>
      <c r="F187" s="486"/>
      <c r="G187" s="486"/>
      <c r="H187" s="487"/>
      <c r="I187" s="502"/>
    </row>
    <row r="188" spans="1:9" ht="15.75">
      <c r="A188" s="580"/>
      <c r="B188" s="581"/>
      <c r="C188" s="581"/>
      <c r="D188" s="581"/>
      <c r="E188" s="581"/>
      <c r="F188" s="581"/>
      <c r="G188" s="582"/>
      <c r="H188" s="487"/>
      <c r="I188" s="502"/>
    </row>
    <row r="189" spans="1:9" ht="15.75">
      <c r="A189" s="470" t="s">
        <v>305</v>
      </c>
      <c r="B189" s="471"/>
      <c r="C189" s="471"/>
      <c r="D189" s="479"/>
      <c r="E189" s="480"/>
      <c r="F189" s="480"/>
      <c r="G189" s="480"/>
      <c r="H189" s="505"/>
      <c r="I189" s="502"/>
    </row>
    <row r="190" spans="1:9" ht="15.75">
      <c r="A190" s="496"/>
      <c r="B190" s="496"/>
      <c r="C190" s="496"/>
      <c r="D190" s="496"/>
      <c r="E190" s="496"/>
      <c r="F190" s="496"/>
      <c r="G190" s="496"/>
      <c r="H190" s="487"/>
      <c r="I190" s="502"/>
    </row>
    <row r="191" spans="1:9" ht="15.75">
      <c r="A191" s="496"/>
      <c r="B191" s="496"/>
      <c r="C191" s="496"/>
      <c r="D191" s="496"/>
      <c r="E191" s="496"/>
      <c r="F191" s="496"/>
      <c r="G191" s="496"/>
      <c r="H191" s="487"/>
      <c r="I191" s="502"/>
    </row>
    <row r="192" spans="1:9" ht="15.75">
      <c r="A192" s="496"/>
      <c r="B192" s="496"/>
      <c r="C192" s="496"/>
      <c r="D192" s="496"/>
      <c r="E192" s="496"/>
      <c r="F192" s="496"/>
      <c r="G192" s="496"/>
      <c r="H192" s="503">
        <f>SUM(A190:G190)+(SUM(A191:G191)+SUM(A192:G192))</f>
        <v>0</v>
      </c>
      <c r="I192" s="504" t="str">
        <f>IF(AND(H192&gt;0,H192&lt;=95),"A",IF(AND(H192&gt;95,H192&lt;=110),"B",IF(AND(H192&gt;110,H192&lt;=130),"C",IF(AND(H192&gt;130,H192&lt;=160),"D",IF(H192&gt;160,"E","ND")))))</f>
        <v>ND</v>
      </c>
    </row>
    <row r="193" spans="1:9" ht="15.75">
      <c r="A193" s="483"/>
      <c r="B193" s="483"/>
      <c r="C193" s="483"/>
      <c r="D193" s="483"/>
      <c r="E193" s="484"/>
      <c r="F193" s="484"/>
      <c r="G193" s="484"/>
      <c r="H193" s="487"/>
      <c r="I193" s="502"/>
    </row>
    <row r="194" spans="1:9" ht="15.75">
      <c r="A194" s="470" t="s">
        <v>306</v>
      </c>
      <c r="B194" s="471"/>
      <c r="C194" s="471"/>
      <c r="D194" s="483"/>
      <c r="E194" s="484"/>
      <c r="F194" s="484"/>
      <c r="G194" s="484"/>
      <c r="H194" s="487"/>
      <c r="I194" s="502"/>
    </row>
    <row r="195" spans="1:9" ht="15.75">
      <c r="A195" s="496"/>
      <c r="B195" s="496"/>
      <c r="C195" s="496"/>
      <c r="D195" s="496"/>
      <c r="E195" s="496"/>
      <c r="F195" s="496"/>
      <c r="G195" s="496"/>
      <c r="H195" s="487"/>
      <c r="I195" s="502"/>
    </row>
    <row r="196" spans="1:9" ht="15.75">
      <c r="A196" s="496"/>
      <c r="B196" s="496"/>
      <c r="C196" s="496"/>
      <c r="D196" s="496"/>
      <c r="E196" s="496"/>
      <c r="F196" s="496"/>
      <c r="G196" s="496"/>
      <c r="H196" s="487"/>
      <c r="I196" s="502"/>
    </row>
    <row r="197" spans="1:9" ht="15.75">
      <c r="A197" s="496"/>
      <c r="B197" s="496"/>
      <c r="C197" s="496"/>
      <c r="D197" s="496"/>
      <c r="E197" s="496"/>
      <c r="F197" s="496"/>
      <c r="G197" s="496"/>
      <c r="H197" s="503">
        <f>SUM(A195:G195)+(SUM(A196:G196)+SUM(A197:G197))</f>
        <v>0</v>
      </c>
      <c r="I197" s="502"/>
    </row>
    <row r="198" spans="1:9" ht="15.75">
      <c r="A198" s="483"/>
      <c r="B198" s="483"/>
      <c r="C198" s="483"/>
      <c r="D198" s="483"/>
      <c r="E198" s="484"/>
      <c r="F198" s="484"/>
      <c r="G198" s="484"/>
      <c r="H198" s="487"/>
      <c r="I198" s="502"/>
    </row>
    <row r="199" spans="1:9" ht="15.75">
      <c r="A199" s="478"/>
      <c r="B199" s="475"/>
      <c r="C199" s="475"/>
      <c r="D199" s="475"/>
      <c r="E199" s="475"/>
      <c r="F199" s="475"/>
      <c r="G199" s="475"/>
      <c r="H199" s="501"/>
      <c r="I199" s="502"/>
    </row>
    <row r="200" spans="1:9" ht="15.75">
      <c r="A200" s="472" t="s">
        <v>312</v>
      </c>
      <c r="B200" s="472"/>
      <c r="C200" s="472"/>
      <c r="D200" s="475"/>
      <c r="E200" s="475"/>
      <c r="F200" s="475"/>
      <c r="G200" s="475"/>
      <c r="H200" s="501"/>
      <c r="I200" s="502"/>
    </row>
    <row r="201" spans="1:9" ht="15.75">
      <c r="A201" s="583"/>
      <c r="B201" s="584"/>
      <c r="C201" s="584"/>
      <c r="D201" s="584"/>
      <c r="E201" s="584"/>
      <c r="F201" s="584"/>
      <c r="G201" s="585"/>
      <c r="H201" s="501"/>
      <c r="I201" s="502"/>
    </row>
    <row r="202" spans="1:9" ht="15.75">
      <c r="A202" s="470" t="s">
        <v>305</v>
      </c>
      <c r="B202" s="471"/>
      <c r="C202" s="471"/>
      <c r="D202" s="479"/>
      <c r="E202" s="480"/>
      <c r="F202" s="480"/>
      <c r="G202" s="480"/>
      <c r="H202" s="505"/>
      <c r="I202" s="502"/>
    </row>
    <row r="203" spans="1:9" ht="15.75">
      <c r="A203" s="496"/>
      <c r="B203" s="496"/>
      <c r="C203" s="496"/>
      <c r="D203" s="496"/>
      <c r="E203" s="496"/>
      <c r="F203" s="496"/>
      <c r="G203" s="496"/>
      <c r="H203" s="487"/>
      <c r="I203" s="502"/>
    </row>
    <row r="204" spans="1:9" ht="15.75">
      <c r="A204" s="496"/>
      <c r="B204" s="496"/>
      <c r="C204" s="496"/>
      <c r="D204" s="496"/>
      <c r="E204" s="496"/>
      <c r="F204" s="496"/>
      <c r="G204" s="496"/>
      <c r="H204" s="487"/>
      <c r="I204" s="502"/>
    </row>
    <row r="205" spans="1:9" ht="15.75">
      <c r="A205" s="496"/>
      <c r="B205" s="496"/>
      <c r="C205" s="496"/>
      <c r="D205" s="496"/>
      <c r="E205" s="496"/>
      <c r="F205" s="496"/>
      <c r="G205" s="496"/>
      <c r="H205" s="503">
        <f>SUM(A203:G203)+(SUM(A204:G204)+SUM(A205:G205))</f>
        <v>0</v>
      </c>
      <c r="I205" s="504" t="str">
        <f>IF(AND(H205&gt;0,H205&lt;=95),"A",IF(AND(H205&gt;95,H205&lt;=110),"B",IF(AND(H205&gt;110,H205&lt;=130),"C",IF(AND(H205&gt;130,H205&lt;=160),"D",IF(H205&gt;160,"E","ND")))))</f>
        <v>ND</v>
      </c>
    </row>
    <row r="206" spans="1:9" ht="15.75">
      <c r="A206" s="483"/>
      <c r="B206" s="483"/>
      <c r="C206" s="483"/>
      <c r="D206" s="483"/>
      <c r="E206" s="484"/>
      <c r="F206" s="484"/>
      <c r="G206" s="484"/>
      <c r="H206" s="487"/>
      <c r="I206" s="502"/>
    </row>
    <row r="207" spans="1:9" ht="15.75">
      <c r="A207" s="470" t="s">
        <v>306</v>
      </c>
      <c r="B207" s="471"/>
      <c r="C207" s="471"/>
      <c r="D207" s="483"/>
      <c r="E207" s="484"/>
      <c r="F207" s="484"/>
      <c r="G207" s="484"/>
      <c r="H207" s="487"/>
      <c r="I207" s="502"/>
    </row>
    <row r="208" spans="1:9" ht="15.75">
      <c r="A208" s="496"/>
      <c r="B208" s="496"/>
      <c r="C208" s="496"/>
      <c r="D208" s="496"/>
      <c r="E208" s="496"/>
      <c r="F208" s="496"/>
      <c r="G208" s="496"/>
      <c r="H208" s="487"/>
      <c r="I208" s="502"/>
    </row>
    <row r="209" spans="1:9" ht="15.75">
      <c r="A209" s="496"/>
      <c r="B209" s="496"/>
      <c r="C209" s="496"/>
      <c r="D209" s="496"/>
      <c r="E209" s="496"/>
      <c r="F209" s="496"/>
      <c r="G209" s="496"/>
      <c r="H209" s="487"/>
      <c r="I209" s="502"/>
    </row>
    <row r="210" spans="1:9" ht="15.75">
      <c r="A210" s="496"/>
      <c r="B210" s="496"/>
      <c r="C210" s="496"/>
      <c r="D210" s="496"/>
      <c r="E210" s="496"/>
      <c r="F210" s="496"/>
      <c r="G210" s="496"/>
      <c r="H210" s="503">
        <f>SUM(A208:G208)+(SUM(A209:G209)+SUM(A210:G210))</f>
        <v>0</v>
      </c>
      <c r="I210" s="502"/>
    </row>
    <row r="211" spans="1:9" ht="15.75">
      <c r="A211" s="483"/>
      <c r="B211" s="483"/>
      <c r="C211" s="483"/>
      <c r="D211" s="483"/>
      <c r="E211" s="484"/>
      <c r="F211" s="484"/>
      <c r="G211" s="484"/>
      <c r="H211" s="487"/>
      <c r="I211" s="502"/>
    </row>
    <row r="212" spans="1:9" ht="15.75">
      <c r="A212" s="483"/>
      <c r="B212" s="483"/>
      <c r="C212" s="483"/>
      <c r="D212" s="483"/>
      <c r="E212" s="484"/>
      <c r="F212" s="484"/>
      <c r="G212" s="484"/>
      <c r="H212" s="487"/>
      <c r="I212" s="502"/>
    </row>
    <row r="213" spans="1:9" ht="15.75">
      <c r="A213" s="472" t="s">
        <v>313</v>
      </c>
      <c r="B213" s="472"/>
      <c r="C213" s="472"/>
      <c r="D213" s="485"/>
      <c r="E213" s="486"/>
      <c r="F213" s="486"/>
      <c r="G213" s="486"/>
      <c r="H213" s="487"/>
      <c r="I213" s="502"/>
    </row>
    <row r="214" spans="1:9" ht="15.75">
      <c r="A214" s="580"/>
      <c r="B214" s="581"/>
      <c r="C214" s="581"/>
      <c r="D214" s="581"/>
      <c r="E214" s="581"/>
      <c r="F214" s="581"/>
      <c r="G214" s="582"/>
      <c r="H214" s="487"/>
      <c r="I214" s="502"/>
    </row>
    <row r="215" spans="1:9" ht="15.75">
      <c r="A215" s="470" t="s">
        <v>305</v>
      </c>
      <c r="B215" s="471"/>
      <c r="C215" s="471"/>
      <c r="D215" s="479"/>
      <c r="E215" s="480"/>
      <c r="F215" s="480"/>
      <c r="G215" s="480"/>
      <c r="H215" s="505"/>
      <c r="I215" s="502"/>
    </row>
    <row r="216" spans="1:9" ht="15.75">
      <c r="A216" s="496"/>
      <c r="B216" s="496"/>
      <c r="C216" s="496"/>
      <c r="D216" s="496"/>
      <c r="E216" s="496"/>
      <c r="F216" s="496"/>
      <c r="G216" s="496"/>
      <c r="H216" s="487"/>
      <c r="I216" s="502"/>
    </row>
    <row r="217" spans="1:9" ht="15.75">
      <c r="A217" s="496"/>
      <c r="B217" s="496"/>
      <c r="C217" s="496"/>
      <c r="D217" s="496"/>
      <c r="E217" s="496"/>
      <c r="F217" s="496"/>
      <c r="G217" s="496"/>
      <c r="H217" s="487"/>
      <c r="I217" s="502"/>
    </row>
    <row r="218" spans="1:9" ht="15.75">
      <c r="A218" s="496"/>
      <c r="B218" s="496"/>
      <c r="C218" s="496"/>
      <c r="D218" s="496"/>
      <c r="E218" s="496"/>
      <c r="F218" s="496"/>
      <c r="G218" s="496"/>
      <c r="H218" s="503">
        <f>SUM(A216:G216)+(SUM(A217:G217)+SUM(A218:G218))</f>
        <v>0</v>
      </c>
      <c r="I218" s="504" t="str">
        <f>IF(AND(H218&gt;0,H218&lt;=95),"A",IF(AND(H218&gt;95,H218&lt;=110),"B",IF(AND(H218&gt;110,H218&lt;=130),"C",IF(AND(H218&gt;130,H218&lt;=160),"D",IF(H218&gt;160,"E","ND")))))</f>
        <v>ND</v>
      </c>
    </row>
    <row r="219" spans="1:9" ht="15.75">
      <c r="A219" s="483"/>
      <c r="B219" s="483"/>
      <c r="C219" s="483"/>
      <c r="D219" s="483"/>
      <c r="E219" s="484"/>
      <c r="F219" s="484"/>
      <c r="G219" s="484"/>
      <c r="H219" s="487"/>
      <c r="I219" s="502"/>
    </row>
    <row r="220" spans="1:9" ht="15.75">
      <c r="A220" s="470" t="s">
        <v>306</v>
      </c>
      <c r="B220" s="471"/>
      <c r="C220" s="471"/>
      <c r="D220" s="483"/>
      <c r="E220" s="484"/>
      <c r="F220" s="484"/>
      <c r="G220" s="484"/>
      <c r="H220" s="487"/>
      <c r="I220" s="502"/>
    </row>
    <row r="221" spans="1:9" ht="15.75">
      <c r="A221" s="496"/>
      <c r="B221" s="496"/>
      <c r="C221" s="496"/>
      <c r="D221" s="496"/>
      <c r="E221" s="496"/>
      <c r="F221" s="496"/>
      <c r="G221" s="496"/>
      <c r="H221" s="487"/>
      <c r="I221" s="502"/>
    </row>
    <row r="222" spans="1:9" ht="15.75">
      <c r="A222" s="496"/>
      <c r="B222" s="496"/>
      <c r="C222" s="496"/>
      <c r="D222" s="496"/>
      <c r="E222" s="496"/>
      <c r="F222" s="496"/>
      <c r="G222" s="496"/>
      <c r="H222" s="487"/>
      <c r="I222" s="502"/>
    </row>
    <row r="223" spans="1:9" ht="15.75">
      <c r="A223" s="496"/>
      <c r="B223" s="496"/>
      <c r="C223" s="496"/>
      <c r="D223" s="496"/>
      <c r="E223" s="496"/>
      <c r="F223" s="496"/>
      <c r="G223" s="496"/>
      <c r="H223" s="503">
        <f>SUM(A221:G221)+(SUM(A222:G222)+SUM(A223:G223))</f>
        <v>0</v>
      </c>
      <c r="I223" s="502"/>
    </row>
    <row r="224" spans="1:9" ht="15.75">
      <c r="A224" s="483"/>
      <c r="B224" s="483"/>
      <c r="C224" s="483"/>
      <c r="D224" s="483"/>
      <c r="E224" s="484"/>
      <c r="F224" s="484"/>
      <c r="G224" s="484"/>
      <c r="H224" s="487"/>
      <c r="I224" s="502"/>
    </row>
    <row r="225" spans="1:9" ht="15.75">
      <c r="A225" s="478"/>
      <c r="B225" s="475"/>
      <c r="C225" s="475"/>
      <c r="D225" s="475"/>
      <c r="E225" s="475"/>
      <c r="F225" s="475"/>
      <c r="G225" s="475"/>
      <c r="H225" s="501"/>
      <c r="I225" s="502"/>
    </row>
    <row r="226" spans="1:9" ht="15.75">
      <c r="A226" s="472" t="s">
        <v>314</v>
      </c>
      <c r="B226" s="472"/>
      <c r="C226" s="472"/>
      <c r="D226" s="475"/>
      <c r="E226" s="475"/>
      <c r="F226" s="475"/>
      <c r="G226" s="475"/>
      <c r="H226" s="501"/>
      <c r="I226" s="502"/>
    </row>
    <row r="227" spans="1:9" ht="15.75">
      <c r="A227" s="583"/>
      <c r="B227" s="584"/>
      <c r="C227" s="584"/>
      <c r="D227" s="584"/>
      <c r="E227" s="584"/>
      <c r="F227" s="584"/>
      <c r="G227" s="585"/>
      <c r="H227" s="501"/>
      <c r="I227" s="502"/>
    </row>
    <row r="228" spans="1:9" ht="15.75">
      <c r="A228" s="470" t="s">
        <v>305</v>
      </c>
      <c r="B228" s="471"/>
      <c r="C228" s="471"/>
      <c r="D228" s="479"/>
      <c r="E228" s="480"/>
      <c r="F228" s="480"/>
      <c r="G228" s="480"/>
      <c r="H228" s="505"/>
      <c r="I228" s="502"/>
    </row>
    <row r="229" spans="1:9" ht="15.75">
      <c r="A229" s="496"/>
      <c r="B229" s="496"/>
      <c r="C229" s="496"/>
      <c r="D229" s="496"/>
      <c r="E229" s="496"/>
      <c r="F229" s="496"/>
      <c r="G229" s="496"/>
      <c r="H229" s="487"/>
      <c r="I229" s="502"/>
    </row>
    <row r="230" spans="1:9" ht="15.75">
      <c r="A230" s="496"/>
      <c r="B230" s="496"/>
      <c r="C230" s="496"/>
      <c r="D230" s="496"/>
      <c r="E230" s="496"/>
      <c r="F230" s="496"/>
      <c r="G230" s="496"/>
      <c r="H230" s="487"/>
      <c r="I230" s="502"/>
    </row>
    <row r="231" spans="1:9" ht="15.75">
      <c r="A231" s="496"/>
      <c r="B231" s="496"/>
      <c r="C231" s="496"/>
      <c r="D231" s="496"/>
      <c r="E231" s="496"/>
      <c r="F231" s="496"/>
      <c r="G231" s="496"/>
      <c r="H231" s="503">
        <f>SUM(A229:G229)+(SUM(A230:G230)+SUM(A231:G231))</f>
        <v>0</v>
      </c>
      <c r="I231" s="504" t="str">
        <f>IF(AND(H231&gt;0,H231&lt;=95),"A",IF(AND(H231&gt;95,H231&lt;=110),"B",IF(AND(H231&gt;110,H231&lt;=130),"C",IF(AND(H231&gt;130,H231&lt;=160),"D",IF(H231&gt;160,"E","ND")))))</f>
        <v>ND</v>
      </c>
    </row>
    <row r="232" spans="1:9" ht="15.75">
      <c r="A232" s="483"/>
      <c r="B232" s="483"/>
      <c r="C232" s="483"/>
      <c r="D232" s="483"/>
      <c r="E232" s="484"/>
      <c r="F232" s="484"/>
      <c r="G232" s="484"/>
      <c r="H232" s="487"/>
      <c r="I232" s="502"/>
    </row>
    <row r="233" spans="1:9" ht="15.75">
      <c r="A233" s="470" t="s">
        <v>306</v>
      </c>
      <c r="B233" s="471"/>
      <c r="C233" s="471"/>
      <c r="D233" s="483"/>
      <c r="E233" s="484"/>
      <c r="F233" s="484"/>
      <c r="G233" s="484"/>
      <c r="H233" s="487"/>
      <c r="I233" s="502"/>
    </row>
    <row r="234" spans="1:9" ht="15.75">
      <c r="A234" s="496"/>
      <c r="B234" s="496"/>
      <c r="C234" s="496"/>
      <c r="D234" s="496"/>
      <c r="E234" s="496"/>
      <c r="F234" s="496"/>
      <c r="G234" s="496"/>
      <c r="H234" s="487"/>
      <c r="I234" s="502"/>
    </row>
    <row r="235" spans="1:9" ht="15.75">
      <c r="A235" s="496"/>
      <c r="B235" s="496"/>
      <c r="C235" s="496"/>
      <c r="D235" s="496"/>
      <c r="E235" s="496"/>
      <c r="F235" s="496"/>
      <c r="G235" s="496"/>
      <c r="H235" s="487"/>
      <c r="I235" s="502"/>
    </row>
    <row r="236" spans="1:9" ht="15.75">
      <c r="A236" s="496"/>
      <c r="B236" s="496"/>
      <c r="C236" s="496"/>
      <c r="D236" s="496"/>
      <c r="E236" s="496"/>
      <c r="F236" s="496"/>
      <c r="G236" s="496"/>
      <c r="H236" s="503">
        <f>SUM(A234:G234)+(SUM(A235:G235)+SUM(A236:G236))</f>
        <v>0</v>
      </c>
      <c r="I236" s="502"/>
    </row>
    <row r="237" spans="1:9" ht="15.75">
      <c r="A237" s="483"/>
      <c r="B237" s="483"/>
      <c r="C237" s="483"/>
      <c r="D237" s="483"/>
      <c r="E237" s="484"/>
      <c r="F237" s="484"/>
      <c r="G237" s="484"/>
      <c r="H237" s="487"/>
      <c r="I237" s="502"/>
    </row>
    <row r="238" spans="1:9" ht="15.75">
      <c r="A238" s="483"/>
      <c r="B238" s="483"/>
      <c r="C238" s="483"/>
      <c r="D238" s="483"/>
      <c r="E238" s="484"/>
      <c r="F238" s="484"/>
      <c r="G238" s="484"/>
      <c r="H238" s="487"/>
      <c r="I238" s="502"/>
    </row>
    <row r="239" spans="1:9" ht="15.75">
      <c r="A239" s="472" t="s">
        <v>315</v>
      </c>
      <c r="B239" s="472"/>
      <c r="C239" s="472"/>
      <c r="D239" s="485"/>
      <c r="E239" s="486"/>
      <c r="F239" s="486"/>
      <c r="G239" s="486"/>
      <c r="H239" s="487"/>
      <c r="I239" s="502"/>
    </row>
    <row r="240" spans="1:9" ht="15.75">
      <c r="A240" s="580"/>
      <c r="B240" s="581"/>
      <c r="C240" s="581"/>
      <c r="D240" s="581"/>
      <c r="E240" s="581"/>
      <c r="F240" s="581"/>
      <c r="G240" s="582"/>
      <c r="H240" s="487"/>
      <c r="I240" s="502"/>
    </row>
    <row r="241" spans="1:9" ht="15.75">
      <c r="A241" s="470" t="s">
        <v>305</v>
      </c>
      <c r="B241" s="471"/>
      <c r="C241" s="471"/>
      <c r="D241" s="479"/>
      <c r="E241" s="480"/>
      <c r="F241" s="480"/>
      <c r="G241" s="480"/>
      <c r="H241" s="505"/>
      <c r="I241" s="502"/>
    </row>
    <row r="242" spans="1:9" ht="15.75">
      <c r="A242" s="496"/>
      <c r="B242" s="496"/>
      <c r="C242" s="496"/>
      <c r="D242" s="496"/>
      <c r="E242" s="496"/>
      <c r="F242" s="496"/>
      <c r="G242" s="496"/>
      <c r="H242" s="487"/>
      <c r="I242" s="502"/>
    </row>
    <row r="243" spans="1:9" ht="15.75">
      <c r="A243" s="496"/>
      <c r="B243" s="496"/>
      <c r="C243" s="496"/>
      <c r="D243" s="496"/>
      <c r="E243" s="496"/>
      <c r="F243" s="496"/>
      <c r="G243" s="496"/>
      <c r="H243" s="487"/>
      <c r="I243" s="502"/>
    </row>
    <row r="244" spans="1:9" ht="15.75">
      <c r="A244" s="496"/>
      <c r="B244" s="496"/>
      <c r="C244" s="496"/>
      <c r="D244" s="496"/>
      <c r="E244" s="496"/>
      <c r="F244" s="496"/>
      <c r="G244" s="496"/>
      <c r="H244" s="503">
        <f>SUM(A242:G242)+(SUM(A243:G243)+SUM(A244:G244))</f>
        <v>0</v>
      </c>
      <c r="I244" s="504" t="str">
        <f>IF(AND(H244&gt;0,H244&lt;=95),"A",IF(AND(H244&gt;95,H244&lt;=110),"B",IF(AND(H244&gt;110,H244&lt;=130),"C",IF(AND(H244&gt;130,H244&lt;=160),"D",IF(H244&gt;160,"E","ND")))))</f>
        <v>ND</v>
      </c>
    </row>
    <row r="245" spans="1:9" ht="15.75">
      <c r="A245" s="483"/>
      <c r="B245" s="483"/>
      <c r="C245" s="483"/>
      <c r="D245" s="483"/>
      <c r="E245" s="484"/>
      <c r="F245" s="484"/>
      <c r="G245" s="484"/>
      <c r="H245" s="487"/>
      <c r="I245" s="502"/>
    </row>
    <row r="246" spans="1:9" ht="15.75">
      <c r="A246" s="470" t="s">
        <v>306</v>
      </c>
      <c r="B246" s="471"/>
      <c r="C246" s="471"/>
      <c r="D246" s="483"/>
      <c r="E246" s="484"/>
      <c r="F246" s="484"/>
      <c r="G246" s="484"/>
      <c r="H246" s="487"/>
      <c r="I246" s="502"/>
    </row>
    <row r="247" spans="1:9" ht="15.75">
      <c r="A247" s="496"/>
      <c r="B247" s="496"/>
      <c r="C247" s="496"/>
      <c r="D247" s="496"/>
      <c r="E247" s="496"/>
      <c r="F247" s="496"/>
      <c r="G247" s="496"/>
      <c r="H247" s="487"/>
      <c r="I247" s="502"/>
    </row>
    <row r="248" spans="1:9" ht="15.75">
      <c r="A248" s="496"/>
      <c r="B248" s="496"/>
      <c r="C248" s="496"/>
      <c r="D248" s="496"/>
      <c r="E248" s="496"/>
      <c r="F248" s="496"/>
      <c r="G248" s="496"/>
      <c r="H248" s="487"/>
      <c r="I248" s="502"/>
    </row>
    <row r="249" spans="1:9" ht="15.75">
      <c r="A249" s="496"/>
      <c r="B249" s="496"/>
      <c r="C249" s="496"/>
      <c r="D249" s="496"/>
      <c r="E249" s="496"/>
      <c r="F249" s="496"/>
      <c r="G249" s="496"/>
      <c r="H249" s="503">
        <f>SUM(A247:G247)+(SUM(A248:G248)+SUM(A249:G249))</f>
        <v>0</v>
      </c>
      <c r="I249" s="502"/>
    </row>
    <row r="250" spans="1:9" ht="15.75">
      <c r="A250" s="483"/>
      <c r="B250" s="483"/>
      <c r="C250" s="483"/>
      <c r="D250" s="483"/>
      <c r="E250" s="484"/>
      <c r="F250" s="484"/>
      <c r="G250" s="484"/>
      <c r="H250" s="487"/>
      <c r="I250" s="502"/>
    </row>
    <row r="251" spans="1:9" ht="15.75">
      <c r="A251" s="478"/>
      <c r="B251" s="475"/>
      <c r="C251" s="475"/>
      <c r="D251" s="475"/>
      <c r="E251" s="475"/>
      <c r="F251" s="475"/>
      <c r="G251" s="475"/>
      <c r="H251" s="501"/>
      <c r="I251" s="502"/>
    </row>
    <row r="252" spans="1:9" ht="15.75">
      <c r="A252" s="472" t="s">
        <v>316</v>
      </c>
      <c r="B252" s="472"/>
      <c r="C252" s="472"/>
      <c r="D252" s="475"/>
      <c r="E252" s="475"/>
      <c r="F252" s="475"/>
      <c r="G252" s="475"/>
      <c r="H252" s="501"/>
      <c r="I252" s="502"/>
    </row>
    <row r="253" spans="1:9" ht="15.75">
      <c r="A253" s="583"/>
      <c r="B253" s="584"/>
      <c r="C253" s="584"/>
      <c r="D253" s="584"/>
      <c r="E253" s="584"/>
      <c r="F253" s="584"/>
      <c r="G253" s="585"/>
      <c r="H253" s="501"/>
      <c r="I253" s="502"/>
    </row>
    <row r="254" spans="1:9" ht="15.75">
      <c r="A254" s="470" t="s">
        <v>305</v>
      </c>
      <c r="B254" s="471"/>
      <c r="C254" s="471"/>
      <c r="D254" s="479"/>
      <c r="E254" s="480"/>
      <c r="F254" s="480"/>
      <c r="G254" s="480"/>
      <c r="H254" s="505"/>
      <c r="I254" s="502"/>
    </row>
    <row r="255" spans="1:9" ht="15.75">
      <c r="A255" s="496"/>
      <c r="B255" s="496"/>
      <c r="C255" s="496"/>
      <c r="D255" s="496"/>
      <c r="E255" s="496"/>
      <c r="F255" s="496"/>
      <c r="G255" s="496"/>
      <c r="H255" s="487"/>
      <c r="I255" s="502"/>
    </row>
    <row r="256" spans="1:9" ht="15.75">
      <c r="A256" s="496"/>
      <c r="B256" s="496"/>
      <c r="C256" s="496"/>
      <c r="D256" s="496"/>
      <c r="E256" s="496"/>
      <c r="F256" s="496"/>
      <c r="G256" s="496"/>
      <c r="H256" s="487"/>
      <c r="I256" s="502"/>
    </row>
    <row r="257" spans="1:9" ht="15.75">
      <c r="A257" s="496"/>
      <c r="B257" s="496"/>
      <c r="C257" s="496"/>
      <c r="D257" s="496"/>
      <c r="E257" s="496"/>
      <c r="F257" s="496"/>
      <c r="G257" s="496"/>
      <c r="H257" s="503">
        <f>SUM(A255:G255)+(SUM(A256:G256)+SUM(A257:G257))</f>
        <v>0</v>
      </c>
      <c r="I257" s="504" t="str">
        <f>IF(AND(H257&gt;0,H257&lt;=95),"A",IF(AND(H257&gt;95,H257&lt;=110),"B",IF(AND(H257&gt;110,H257&lt;=130),"C",IF(AND(H257&gt;130,H257&lt;=160),"D",IF(H257&gt;160,"E","ND")))))</f>
        <v>ND</v>
      </c>
    </row>
    <row r="258" spans="1:9" ht="15.75">
      <c r="A258" s="483"/>
      <c r="B258" s="483"/>
      <c r="C258" s="483"/>
      <c r="D258" s="483"/>
      <c r="E258" s="484"/>
      <c r="F258" s="484"/>
      <c r="G258" s="484"/>
      <c r="H258" s="487"/>
      <c r="I258" s="502"/>
    </row>
    <row r="259" spans="1:9" ht="15.75">
      <c r="A259" s="470" t="s">
        <v>306</v>
      </c>
      <c r="B259" s="471"/>
      <c r="C259" s="471"/>
      <c r="D259" s="483"/>
      <c r="E259" s="484"/>
      <c r="F259" s="484"/>
      <c r="G259" s="484"/>
      <c r="H259" s="487"/>
      <c r="I259" s="502"/>
    </row>
    <row r="260" spans="1:9" ht="15.75">
      <c r="A260" s="496"/>
      <c r="B260" s="496"/>
      <c r="C260" s="496"/>
      <c r="D260" s="496"/>
      <c r="E260" s="496"/>
      <c r="F260" s="496"/>
      <c r="G260" s="496"/>
      <c r="H260" s="487"/>
      <c r="I260" s="502"/>
    </row>
    <row r="261" spans="1:9" ht="15.75">
      <c r="A261" s="496"/>
      <c r="B261" s="496"/>
      <c r="C261" s="496"/>
      <c r="D261" s="496"/>
      <c r="E261" s="496"/>
      <c r="F261" s="496"/>
      <c r="G261" s="496"/>
      <c r="H261" s="487"/>
      <c r="I261" s="502"/>
    </row>
    <row r="262" spans="1:9" ht="15.75">
      <c r="A262" s="496"/>
      <c r="B262" s="496"/>
      <c r="C262" s="496"/>
      <c r="D262" s="496"/>
      <c r="E262" s="496"/>
      <c r="F262" s="496"/>
      <c r="G262" s="496"/>
      <c r="H262" s="503">
        <f>SUM(A260:G260)+(SUM(A261:G261)+SUM(A262:G262))</f>
        <v>0</v>
      </c>
      <c r="I262" s="502"/>
    </row>
    <row r="263" spans="1:9" ht="15.75">
      <c r="A263" s="483"/>
      <c r="B263" s="483"/>
      <c r="C263" s="483"/>
      <c r="D263" s="483"/>
      <c r="E263" s="484"/>
      <c r="F263" s="484"/>
      <c r="G263" s="484"/>
      <c r="H263" s="487"/>
      <c r="I263" s="502"/>
    </row>
    <row r="264" spans="1:9" ht="15.75">
      <c r="A264" s="483"/>
      <c r="B264" s="483"/>
      <c r="C264" s="483"/>
      <c r="D264" s="483"/>
      <c r="E264" s="484"/>
      <c r="F264" s="484"/>
      <c r="G264" s="484"/>
      <c r="H264" s="487"/>
      <c r="I264" s="502"/>
    </row>
    <row r="265" spans="1:9" ht="15.75">
      <c r="A265" s="472" t="s">
        <v>317</v>
      </c>
      <c r="B265" s="472"/>
      <c r="C265" s="472"/>
      <c r="D265" s="485"/>
      <c r="E265" s="486"/>
      <c r="F265" s="486"/>
      <c r="G265" s="486"/>
      <c r="H265" s="487"/>
      <c r="I265" s="502"/>
    </row>
    <row r="266" spans="1:9" ht="15.75">
      <c r="A266" s="580"/>
      <c r="B266" s="581"/>
      <c r="C266" s="581"/>
      <c r="D266" s="581"/>
      <c r="E266" s="581"/>
      <c r="F266" s="581"/>
      <c r="G266" s="582"/>
      <c r="H266" s="487"/>
      <c r="I266" s="502"/>
    </row>
    <row r="267" spans="1:9" ht="15.75">
      <c r="A267" s="470" t="s">
        <v>305</v>
      </c>
      <c r="B267" s="471"/>
      <c r="C267" s="471"/>
      <c r="D267" s="479"/>
      <c r="E267" s="480"/>
      <c r="F267" s="480"/>
      <c r="G267" s="480"/>
      <c r="H267" s="505"/>
      <c r="I267" s="502"/>
    </row>
    <row r="268" spans="1:9" ht="15.75">
      <c r="A268" s="496"/>
      <c r="B268" s="496"/>
      <c r="C268" s="496"/>
      <c r="D268" s="496"/>
      <c r="E268" s="496"/>
      <c r="F268" s="496"/>
      <c r="G268" s="496"/>
      <c r="H268" s="487"/>
      <c r="I268" s="502"/>
    </row>
    <row r="269" spans="1:9" ht="15.75">
      <c r="A269" s="496"/>
      <c r="B269" s="496"/>
      <c r="C269" s="496"/>
      <c r="D269" s="496"/>
      <c r="E269" s="496"/>
      <c r="F269" s="496"/>
      <c r="G269" s="496"/>
      <c r="H269" s="487"/>
      <c r="I269" s="502"/>
    </row>
    <row r="270" spans="1:9" ht="15.75">
      <c r="A270" s="496"/>
      <c r="B270" s="496"/>
      <c r="C270" s="496"/>
      <c r="D270" s="496"/>
      <c r="E270" s="496"/>
      <c r="F270" s="496"/>
      <c r="G270" s="496"/>
      <c r="H270" s="503">
        <f>SUM(A268:G268)+(SUM(A269:G269)+SUM(A270:G270))</f>
        <v>0</v>
      </c>
      <c r="I270" s="504" t="str">
        <f>IF(AND(H270&gt;0,H270&lt;=95),"A",IF(AND(H270&gt;95,H270&lt;=110),"B",IF(AND(H270&gt;110,H270&lt;=130),"C",IF(AND(H270&gt;130,H270&lt;=160),"D",IF(H270&gt;160,"E","ND")))))</f>
        <v>ND</v>
      </c>
    </row>
    <row r="271" spans="1:9" ht="15.75">
      <c r="A271" s="483"/>
      <c r="B271" s="483"/>
      <c r="C271" s="483"/>
      <c r="D271" s="483"/>
      <c r="E271" s="484"/>
      <c r="F271" s="484"/>
      <c r="G271" s="484"/>
      <c r="H271" s="487"/>
      <c r="I271" s="502"/>
    </row>
    <row r="272" spans="1:9" ht="15.75">
      <c r="A272" s="470" t="s">
        <v>306</v>
      </c>
      <c r="B272" s="471"/>
      <c r="C272" s="471"/>
      <c r="D272" s="483"/>
      <c r="E272" s="484"/>
      <c r="F272" s="484"/>
      <c r="G272" s="484"/>
      <c r="H272" s="487"/>
      <c r="I272" s="502"/>
    </row>
    <row r="273" spans="1:9" ht="15.75">
      <c r="A273" s="496"/>
      <c r="B273" s="496"/>
      <c r="C273" s="496"/>
      <c r="D273" s="496"/>
      <c r="E273" s="496"/>
      <c r="F273" s="496"/>
      <c r="G273" s="496"/>
      <c r="H273" s="487"/>
      <c r="I273" s="502"/>
    </row>
    <row r="274" spans="1:9" ht="15.75">
      <c r="A274" s="496"/>
      <c r="B274" s="496"/>
      <c r="C274" s="496"/>
      <c r="D274" s="496"/>
      <c r="E274" s="496"/>
      <c r="F274" s="496"/>
      <c r="G274" s="496"/>
      <c r="H274" s="487"/>
      <c r="I274" s="502"/>
    </row>
    <row r="275" spans="1:9" ht="15.75">
      <c r="A275" s="496"/>
      <c r="B275" s="496"/>
      <c r="C275" s="496"/>
      <c r="D275" s="496"/>
      <c r="E275" s="496"/>
      <c r="F275" s="496"/>
      <c r="G275" s="496"/>
      <c r="H275" s="503">
        <f>SUM(A273:G273)+(SUM(A274:G274)+SUM(A275:G275))</f>
        <v>0</v>
      </c>
      <c r="I275" s="502"/>
    </row>
    <row r="276" spans="1:9" ht="15.75">
      <c r="A276" s="483"/>
      <c r="B276" s="483"/>
      <c r="C276" s="483"/>
      <c r="D276" s="483"/>
      <c r="E276" s="484"/>
      <c r="F276" s="484"/>
      <c r="G276" s="484"/>
      <c r="H276" s="487"/>
      <c r="I276" s="502"/>
    </row>
    <row r="277" spans="1:9" ht="15.75">
      <c r="A277" s="478"/>
      <c r="B277" s="475"/>
      <c r="C277" s="475"/>
      <c r="D277" s="475"/>
      <c r="E277" s="475"/>
      <c r="F277" s="475"/>
      <c r="G277" s="475"/>
      <c r="H277" s="501"/>
      <c r="I277" s="502"/>
    </row>
    <row r="278" spans="1:9" ht="15.75">
      <c r="A278" s="472" t="s">
        <v>318</v>
      </c>
      <c r="B278" s="472"/>
      <c r="C278" s="472"/>
      <c r="D278" s="475"/>
      <c r="E278" s="475"/>
      <c r="F278" s="475"/>
      <c r="G278" s="475"/>
      <c r="H278" s="501"/>
      <c r="I278" s="502"/>
    </row>
    <row r="279" spans="1:9" ht="15.75">
      <c r="A279" s="583"/>
      <c r="B279" s="584"/>
      <c r="C279" s="584"/>
      <c r="D279" s="584"/>
      <c r="E279" s="584"/>
      <c r="F279" s="584"/>
      <c r="G279" s="585"/>
      <c r="H279" s="501"/>
      <c r="I279" s="502"/>
    </row>
    <row r="280" spans="1:9" ht="15.75">
      <c r="A280" s="470" t="s">
        <v>305</v>
      </c>
      <c r="B280" s="471"/>
      <c r="C280" s="471"/>
      <c r="D280" s="479"/>
      <c r="E280" s="480"/>
      <c r="F280" s="480"/>
      <c r="G280" s="480"/>
      <c r="H280" s="505"/>
      <c r="I280" s="502"/>
    </row>
    <row r="281" spans="1:9" ht="15.75">
      <c r="A281" s="496"/>
      <c r="B281" s="496"/>
      <c r="C281" s="496"/>
      <c r="D281" s="496"/>
      <c r="E281" s="496"/>
      <c r="F281" s="496"/>
      <c r="G281" s="496"/>
      <c r="H281" s="487"/>
      <c r="I281" s="502"/>
    </row>
    <row r="282" spans="1:9" ht="15.75">
      <c r="A282" s="496"/>
      <c r="B282" s="496"/>
      <c r="C282" s="496"/>
      <c r="D282" s="496"/>
      <c r="E282" s="496"/>
      <c r="F282" s="496"/>
      <c r="G282" s="496"/>
      <c r="H282" s="487"/>
      <c r="I282" s="502"/>
    </row>
    <row r="283" spans="1:9" ht="15.75">
      <c r="A283" s="496"/>
      <c r="B283" s="496"/>
      <c r="C283" s="496"/>
      <c r="D283" s="496"/>
      <c r="E283" s="496"/>
      <c r="F283" s="496"/>
      <c r="G283" s="496"/>
      <c r="H283" s="503">
        <f>SUM(A281:G281)+(SUM(A282:G282)+SUM(A283:G283))</f>
        <v>0</v>
      </c>
      <c r="I283" s="504" t="str">
        <f>IF(AND(H283&gt;0,H283&lt;=95),"A",IF(AND(H283&gt;95,H283&lt;=110),"B",IF(AND(H283&gt;110,H283&lt;=130),"C",IF(AND(H283&gt;130,H283&lt;=160),"D",IF(H283&gt;160,"E","ND")))))</f>
        <v>ND</v>
      </c>
    </row>
    <row r="284" spans="1:9" ht="15.75">
      <c r="A284" s="483"/>
      <c r="B284" s="483"/>
      <c r="C284" s="483"/>
      <c r="D284" s="483"/>
      <c r="E284" s="484"/>
      <c r="F284" s="484"/>
      <c r="G284" s="484"/>
      <c r="H284" s="487"/>
      <c r="I284" s="502"/>
    </row>
    <row r="285" spans="1:9" ht="15.75">
      <c r="A285" s="470" t="s">
        <v>306</v>
      </c>
      <c r="B285" s="471"/>
      <c r="C285" s="471"/>
      <c r="D285" s="483"/>
      <c r="E285" s="484"/>
      <c r="F285" s="484"/>
      <c r="G285" s="484"/>
      <c r="H285" s="487"/>
      <c r="I285" s="502"/>
    </row>
    <row r="286" spans="1:9" ht="15.75">
      <c r="A286" s="496"/>
      <c r="B286" s="496"/>
      <c r="C286" s="496"/>
      <c r="D286" s="496"/>
      <c r="E286" s="496"/>
      <c r="F286" s="496"/>
      <c r="G286" s="496"/>
      <c r="H286" s="487"/>
      <c r="I286" s="502"/>
    </row>
    <row r="287" spans="1:9" ht="15.75">
      <c r="A287" s="496"/>
      <c r="B287" s="496"/>
      <c r="C287" s="496"/>
      <c r="D287" s="496"/>
      <c r="E287" s="496"/>
      <c r="F287" s="496"/>
      <c r="G287" s="496"/>
      <c r="H287" s="487"/>
      <c r="I287" s="502"/>
    </row>
    <row r="288" spans="1:9" ht="15.75">
      <c r="A288" s="496"/>
      <c r="B288" s="496"/>
      <c r="C288" s="496"/>
      <c r="D288" s="496"/>
      <c r="E288" s="496"/>
      <c r="F288" s="496"/>
      <c r="G288" s="496"/>
      <c r="H288" s="503">
        <f>SUM(A286:G286)+(SUM(A287:G287)+SUM(A288:G288))</f>
        <v>0</v>
      </c>
      <c r="I288" s="502"/>
    </row>
    <row r="289" spans="1:9" ht="15.75">
      <c r="A289" s="508"/>
      <c r="B289" s="508"/>
      <c r="C289" s="508"/>
      <c r="D289" s="508"/>
      <c r="E289" s="508"/>
      <c r="F289" s="508"/>
      <c r="G289" s="508"/>
      <c r="H289" s="509"/>
      <c r="I289" s="502"/>
    </row>
    <row r="290" spans="1:9" ht="15.75">
      <c r="A290" s="483"/>
      <c r="B290" s="483"/>
      <c r="C290" s="483"/>
      <c r="D290" s="483"/>
      <c r="E290" s="484"/>
      <c r="F290" s="484"/>
      <c r="G290" s="484"/>
      <c r="H290" s="487"/>
      <c r="I290" s="502"/>
    </row>
    <row r="291" spans="1:9" ht="15.75">
      <c r="A291" s="472" t="s">
        <v>319</v>
      </c>
      <c r="B291" s="472"/>
      <c r="C291" s="472"/>
      <c r="D291" s="485"/>
      <c r="E291" s="486"/>
      <c r="F291" s="486"/>
      <c r="G291" s="486"/>
      <c r="H291" s="487"/>
      <c r="I291" s="502"/>
    </row>
    <row r="292" spans="1:9" ht="15.75">
      <c r="A292" s="580"/>
      <c r="B292" s="581"/>
      <c r="C292" s="581"/>
      <c r="D292" s="581"/>
      <c r="E292" s="581"/>
      <c r="F292" s="581"/>
      <c r="G292" s="582"/>
      <c r="H292" s="487"/>
      <c r="I292" s="502"/>
    </row>
    <row r="293" spans="1:9" ht="15.75">
      <c r="A293" s="470" t="s">
        <v>305</v>
      </c>
      <c r="B293" s="471"/>
      <c r="C293" s="471"/>
      <c r="D293" s="479"/>
      <c r="E293" s="480"/>
      <c r="F293" s="480"/>
      <c r="G293" s="480"/>
      <c r="H293" s="505"/>
      <c r="I293" s="502"/>
    </row>
    <row r="294" spans="1:9" ht="15.75">
      <c r="A294" s="496"/>
      <c r="B294" s="496"/>
      <c r="C294" s="496"/>
      <c r="D294" s="496"/>
      <c r="E294" s="496"/>
      <c r="F294" s="496"/>
      <c r="G294" s="496"/>
      <c r="H294" s="487"/>
      <c r="I294" s="502"/>
    </row>
    <row r="295" spans="1:9" ht="15.75">
      <c r="A295" s="496"/>
      <c r="B295" s="496"/>
      <c r="C295" s="496"/>
      <c r="D295" s="496"/>
      <c r="E295" s="496"/>
      <c r="F295" s="496"/>
      <c r="G295" s="496"/>
      <c r="H295" s="487"/>
      <c r="I295" s="502"/>
    </row>
    <row r="296" spans="1:9" ht="15.75">
      <c r="A296" s="496"/>
      <c r="B296" s="496"/>
      <c r="C296" s="496"/>
      <c r="D296" s="496"/>
      <c r="E296" s="496"/>
      <c r="F296" s="496"/>
      <c r="G296" s="496"/>
      <c r="H296" s="503">
        <f>SUM(A294:G294)+(SUM(A295:G295)+SUM(A296:G296))</f>
        <v>0</v>
      </c>
      <c r="I296" s="504" t="str">
        <f>IF(AND(H296&gt;0,H296&lt;=95),"A",IF(AND(H296&gt;95,H296&lt;=110),"B",IF(AND(H296&gt;110,H296&lt;=130),"C",IF(AND(H296&gt;130,H296&lt;=160),"D",IF(H296&gt;160,"E","ND")))))</f>
        <v>ND</v>
      </c>
    </row>
    <row r="297" spans="1:9" ht="15.75">
      <c r="A297" s="483"/>
      <c r="B297" s="483"/>
      <c r="C297" s="483"/>
      <c r="D297" s="483"/>
      <c r="E297" s="484"/>
      <c r="F297" s="484"/>
      <c r="G297" s="484"/>
      <c r="H297" s="487"/>
      <c r="I297" s="502"/>
    </row>
    <row r="298" spans="1:9" ht="15.75">
      <c r="A298" s="470" t="s">
        <v>306</v>
      </c>
      <c r="B298" s="471"/>
      <c r="C298" s="471"/>
      <c r="D298" s="483"/>
      <c r="E298" s="484"/>
      <c r="F298" s="484"/>
      <c r="G298" s="484"/>
      <c r="H298" s="487"/>
      <c r="I298" s="502"/>
    </row>
    <row r="299" spans="1:9" ht="15.75">
      <c r="A299" s="496"/>
      <c r="B299" s="496"/>
      <c r="C299" s="496"/>
      <c r="D299" s="496"/>
      <c r="E299" s="496"/>
      <c r="F299" s="496"/>
      <c r="G299" s="496"/>
      <c r="H299" s="487"/>
      <c r="I299" s="502"/>
    </row>
    <row r="300" spans="1:9" ht="15.75">
      <c r="A300" s="496"/>
      <c r="B300" s="496"/>
      <c r="C300" s="496"/>
      <c r="D300" s="496"/>
      <c r="E300" s="496"/>
      <c r="F300" s="496"/>
      <c r="G300" s="496"/>
      <c r="H300" s="487"/>
      <c r="I300" s="502"/>
    </row>
    <row r="301" spans="1:9" ht="15.75">
      <c r="A301" s="496"/>
      <c r="B301" s="496"/>
      <c r="C301" s="496"/>
      <c r="D301" s="496"/>
      <c r="E301" s="496"/>
      <c r="F301" s="496"/>
      <c r="G301" s="496"/>
      <c r="H301" s="503">
        <f>SUM(A299:G299)+(SUM(A300:G300)+SUM(A301:G301))</f>
        <v>0</v>
      </c>
      <c r="I301" s="502"/>
    </row>
    <row r="302" spans="1:9" ht="15.75">
      <c r="A302" s="483"/>
      <c r="B302" s="483"/>
      <c r="C302" s="483"/>
      <c r="D302" s="483"/>
      <c r="E302" s="484"/>
      <c r="F302" s="484"/>
      <c r="G302" s="484"/>
      <c r="H302" s="487"/>
      <c r="I302" s="502"/>
    </row>
    <row r="303" spans="1:9" ht="15.75">
      <c r="A303" s="478"/>
      <c r="B303" s="475"/>
      <c r="C303" s="475"/>
      <c r="D303" s="475"/>
      <c r="E303" s="475"/>
      <c r="F303" s="475"/>
      <c r="G303" s="475"/>
      <c r="H303" s="501"/>
      <c r="I303" s="502"/>
    </row>
    <row r="304" spans="1:9" ht="15.75">
      <c r="A304" s="472" t="s">
        <v>320</v>
      </c>
      <c r="B304" s="472"/>
      <c r="C304" s="472"/>
      <c r="D304" s="475"/>
      <c r="E304" s="475"/>
      <c r="F304" s="475"/>
      <c r="G304" s="475"/>
      <c r="H304" s="501"/>
      <c r="I304" s="502"/>
    </row>
    <row r="305" spans="1:9" ht="15.75">
      <c r="A305" s="583"/>
      <c r="B305" s="584"/>
      <c r="C305" s="584"/>
      <c r="D305" s="584"/>
      <c r="E305" s="584"/>
      <c r="F305" s="584"/>
      <c r="G305" s="585"/>
      <c r="H305" s="501"/>
      <c r="I305" s="502"/>
    </row>
    <row r="306" spans="1:9" ht="15.75">
      <c r="A306" s="470" t="s">
        <v>305</v>
      </c>
      <c r="B306" s="471"/>
      <c r="C306" s="471"/>
      <c r="D306" s="479"/>
      <c r="E306" s="480"/>
      <c r="F306" s="480"/>
      <c r="G306" s="480"/>
      <c r="H306" s="505"/>
      <c r="I306" s="502"/>
    </row>
    <row r="307" spans="1:9" ht="15.75">
      <c r="A307" s="496"/>
      <c r="B307" s="496"/>
      <c r="C307" s="496"/>
      <c r="D307" s="496"/>
      <c r="E307" s="496"/>
      <c r="F307" s="496"/>
      <c r="G307" s="496"/>
      <c r="H307" s="487"/>
      <c r="I307" s="502"/>
    </row>
    <row r="308" spans="1:9" ht="15.75">
      <c r="A308" s="496"/>
      <c r="B308" s="496"/>
      <c r="C308" s="496"/>
      <c r="D308" s="496"/>
      <c r="E308" s="496"/>
      <c r="F308" s="496"/>
      <c r="G308" s="496"/>
      <c r="H308" s="487"/>
      <c r="I308" s="502"/>
    </row>
    <row r="309" spans="1:9" ht="15.75">
      <c r="A309" s="496"/>
      <c r="B309" s="496"/>
      <c r="C309" s="496"/>
      <c r="D309" s="496"/>
      <c r="E309" s="496"/>
      <c r="F309" s="496"/>
      <c r="G309" s="496"/>
      <c r="H309" s="503">
        <f>SUM(A307:G307)+(SUM(A308:G308)+SUM(A309:G309))</f>
        <v>0</v>
      </c>
      <c r="I309" s="504" t="str">
        <f>IF(AND(H309&gt;0,H309&lt;=95),"A",IF(AND(H309&gt;95,H309&lt;=110),"B",IF(AND(H309&gt;110,H309&lt;=130),"C",IF(AND(H309&gt;130,H309&lt;=160),"D",IF(H309&gt;160,"E","ND")))))</f>
        <v>ND</v>
      </c>
    </row>
    <row r="310" spans="1:9" ht="15.75">
      <c r="A310" s="483"/>
      <c r="B310" s="483"/>
      <c r="C310" s="483"/>
      <c r="D310" s="483"/>
      <c r="E310" s="484"/>
      <c r="F310" s="484"/>
      <c r="G310" s="484"/>
      <c r="H310" s="487"/>
      <c r="I310" s="502"/>
    </row>
    <row r="311" spans="1:9" ht="15.75">
      <c r="A311" s="470" t="s">
        <v>306</v>
      </c>
      <c r="B311" s="471"/>
      <c r="C311" s="471"/>
      <c r="D311" s="483"/>
      <c r="E311" s="484"/>
      <c r="F311" s="484"/>
      <c r="G311" s="484"/>
      <c r="H311" s="487"/>
      <c r="I311" s="502"/>
    </row>
    <row r="312" spans="1:9" ht="15.75">
      <c r="A312" s="496"/>
      <c r="B312" s="496"/>
      <c r="C312" s="496"/>
      <c r="D312" s="496"/>
      <c r="E312" s="496"/>
      <c r="F312" s="496"/>
      <c r="G312" s="496"/>
      <c r="H312" s="487"/>
      <c r="I312" s="502"/>
    </row>
    <row r="313" spans="1:9" ht="15.75">
      <c r="A313" s="496"/>
      <c r="B313" s="496"/>
      <c r="C313" s="496"/>
      <c r="D313" s="496"/>
      <c r="E313" s="496"/>
      <c r="F313" s="496"/>
      <c r="G313" s="496"/>
      <c r="H313" s="487"/>
      <c r="I313" s="502"/>
    </row>
    <row r="314" spans="1:9" ht="15.75">
      <c r="A314" s="496"/>
      <c r="B314" s="496"/>
      <c r="C314" s="496"/>
      <c r="D314" s="496"/>
      <c r="E314" s="496"/>
      <c r="F314" s="496"/>
      <c r="G314" s="496"/>
      <c r="H314" s="503">
        <f>SUM(A312:G312)+(SUM(A313:G313)+SUM(A314:G314))</f>
        <v>0</v>
      </c>
      <c r="I314" s="502"/>
    </row>
    <row r="315" spans="1:9" ht="15.75">
      <c r="A315" s="483"/>
      <c r="B315" s="483"/>
      <c r="C315" s="483"/>
      <c r="D315" s="483"/>
      <c r="E315" s="484"/>
      <c r="F315" s="484"/>
      <c r="G315" s="484"/>
      <c r="H315" s="487"/>
      <c r="I315" s="502"/>
    </row>
    <row r="316" spans="1:9" ht="15.75">
      <c r="A316" s="483"/>
      <c r="B316" s="483"/>
      <c r="C316" s="483"/>
      <c r="D316" s="483"/>
      <c r="E316" s="484"/>
      <c r="F316" s="484"/>
      <c r="G316" s="484"/>
      <c r="H316" s="487"/>
      <c r="I316" s="502"/>
    </row>
    <row r="317" spans="1:9" ht="15.75">
      <c r="A317" s="472" t="s">
        <v>321</v>
      </c>
      <c r="B317" s="472"/>
      <c r="C317" s="472"/>
      <c r="D317" s="485"/>
      <c r="E317" s="486"/>
      <c r="F317" s="486"/>
      <c r="G317" s="486"/>
      <c r="H317" s="487"/>
      <c r="I317" s="502"/>
    </row>
    <row r="318" spans="1:9" ht="15.75">
      <c r="A318" s="580"/>
      <c r="B318" s="581"/>
      <c r="C318" s="581"/>
      <c r="D318" s="581"/>
      <c r="E318" s="581"/>
      <c r="F318" s="581"/>
      <c r="G318" s="582"/>
      <c r="H318" s="487"/>
      <c r="I318" s="502"/>
    </row>
    <row r="319" spans="1:9" ht="15.75">
      <c r="A319" s="470" t="s">
        <v>305</v>
      </c>
      <c r="B319" s="471"/>
      <c r="C319" s="471"/>
      <c r="D319" s="479"/>
      <c r="E319" s="480"/>
      <c r="F319" s="480"/>
      <c r="G319" s="480"/>
      <c r="H319" s="505"/>
      <c r="I319" s="502"/>
    </row>
    <row r="320" spans="1:9" ht="15.75">
      <c r="A320" s="482"/>
      <c r="B320" s="482"/>
      <c r="C320" s="482"/>
      <c r="D320" s="482"/>
      <c r="E320" s="482"/>
      <c r="F320" s="482"/>
      <c r="G320" s="482"/>
      <c r="H320" s="487"/>
      <c r="I320" s="502"/>
    </row>
    <row r="321" spans="1:9" ht="15.75">
      <c r="A321" s="482"/>
      <c r="B321" s="482"/>
      <c r="C321" s="482"/>
      <c r="D321" s="482"/>
      <c r="E321" s="482"/>
      <c r="F321" s="482"/>
      <c r="G321" s="482"/>
      <c r="H321" s="487"/>
      <c r="I321" s="502"/>
    </row>
    <row r="322" spans="1:9" ht="15.75">
      <c r="A322" s="482"/>
      <c r="B322" s="482"/>
      <c r="C322" s="482"/>
      <c r="D322" s="482"/>
      <c r="E322" s="482"/>
      <c r="F322" s="482"/>
      <c r="G322" s="482"/>
      <c r="H322" s="503">
        <f>SUM(A320:G320)+(SUM(A321:G321)+SUM(A322:G322))</f>
        <v>0</v>
      </c>
      <c r="I322" s="504" t="str">
        <f>IF(AND(H322&gt;0,H322&lt;=95),"A",IF(AND(H322&gt;95,H322&lt;=110),"B",IF(AND(H322&gt;110,H322&lt;=130),"C",IF(AND(H322&gt;130,H322&lt;=160),"D",IF(H322&gt;160,"E","ND")))))</f>
        <v>ND</v>
      </c>
    </row>
    <row r="323" spans="1:9" ht="15.75">
      <c r="A323" s="483"/>
      <c r="B323" s="483"/>
      <c r="C323" s="483"/>
      <c r="D323" s="483"/>
      <c r="E323" s="484"/>
      <c r="F323" s="484"/>
      <c r="G323" s="484"/>
      <c r="H323" s="487"/>
      <c r="I323" s="502"/>
    </row>
    <row r="324" spans="1:9" ht="15.75">
      <c r="A324" s="470" t="s">
        <v>306</v>
      </c>
      <c r="B324" s="471"/>
      <c r="C324" s="471"/>
      <c r="D324" s="483"/>
      <c r="E324" s="484"/>
      <c r="F324" s="484"/>
      <c r="G324" s="484"/>
      <c r="H324" s="487"/>
      <c r="I324" s="502"/>
    </row>
    <row r="325" spans="1:9" ht="15.75">
      <c r="A325" s="482"/>
      <c r="B325" s="482"/>
      <c r="C325" s="482"/>
      <c r="D325" s="482"/>
      <c r="E325" s="482"/>
      <c r="F325" s="482"/>
      <c r="G325" s="482"/>
      <c r="H325" s="487"/>
      <c r="I325" s="502"/>
    </row>
    <row r="326" spans="1:9" ht="15.75">
      <c r="A326" s="482"/>
      <c r="B326" s="482"/>
      <c r="C326" s="482"/>
      <c r="D326" s="482"/>
      <c r="E326" s="482"/>
      <c r="F326" s="482"/>
      <c r="G326" s="482"/>
      <c r="H326" s="487"/>
      <c r="I326" s="502"/>
    </row>
    <row r="327" spans="1:9" ht="15.75">
      <c r="A327" s="482"/>
      <c r="B327" s="482"/>
      <c r="C327" s="482"/>
      <c r="D327" s="482"/>
      <c r="E327" s="482"/>
      <c r="F327" s="482"/>
      <c r="G327" s="482"/>
      <c r="H327" s="503">
        <f>SUM(A325:G325)+(SUM(A326:G326)+SUM(A327:G327))</f>
        <v>0</v>
      </c>
      <c r="I327" s="502"/>
    </row>
    <row r="328" spans="1:9" ht="15.75">
      <c r="A328" s="483"/>
      <c r="B328" s="483"/>
      <c r="C328" s="483"/>
      <c r="D328" s="483"/>
      <c r="E328" s="484"/>
      <c r="F328" s="484"/>
      <c r="G328" s="484"/>
      <c r="H328" s="487"/>
      <c r="I328" s="502"/>
    </row>
    <row r="329" spans="1:9" ht="15.75">
      <c r="A329" s="478"/>
      <c r="B329" s="475"/>
      <c r="C329" s="475"/>
      <c r="D329" s="475"/>
      <c r="E329" s="475"/>
      <c r="F329" s="475"/>
      <c r="G329" s="475"/>
      <c r="H329" s="501"/>
      <c r="I329" s="502"/>
    </row>
    <row r="330" spans="1:9" ht="15.75">
      <c r="A330" s="472" t="s">
        <v>322</v>
      </c>
      <c r="B330" s="472"/>
      <c r="C330" s="472"/>
      <c r="D330" s="475"/>
      <c r="E330" s="475"/>
      <c r="F330" s="475"/>
      <c r="G330" s="475"/>
      <c r="H330" s="501"/>
      <c r="I330" s="502"/>
    </row>
    <row r="331" spans="1:9" ht="15.75">
      <c r="A331" s="583"/>
      <c r="B331" s="584"/>
      <c r="C331" s="584"/>
      <c r="D331" s="584"/>
      <c r="E331" s="584"/>
      <c r="F331" s="584"/>
      <c r="G331" s="585"/>
      <c r="H331" s="501"/>
      <c r="I331" s="502"/>
    </row>
    <row r="332" spans="1:9" ht="15.75">
      <c r="A332" s="470" t="s">
        <v>305</v>
      </c>
      <c r="B332" s="471"/>
      <c r="C332" s="471"/>
      <c r="D332" s="479"/>
      <c r="E332" s="480"/>
      <c r="F332" s="480"/>
      <c r="G332" s="480"/>
      <c r="H332" s="505"/>
      <c r="I332" s="502"/>
    </row>
    <row r="333" spans="1:9" ht="15.75">
      <c r="A333" s="482"/>
      <c r="B333" s="482"/>
      <c r="C333" s="482"/>
      <c r="D333" s="482"/>
      <c r="E333" s="482"/>
      <c r="F333" s="482"/>
      <c r="G333" s="482"/>
      <c r="H333" s="487"/>
      <c r="I333" s="502"/>
    </row>
    <row r="334" spans="1:9" ht="15.75">
      <c r="A334" s="482"/>
      <c r="B334" s="482"/>
      <c r="C334" s="482"/>
      <c r="D334" s="482"/>
      <c r="E334" s="482"/>
      <c r="F334" s="482"/>
      <c r="G334" s="482"/>
      <c r="H334" s="487"/>
      <c r="I334" s="502"/>
    </row>
    <row r="335" spans="1:9" ht="15.75">
      <c r="A335" s="482"/>
      <c r="B335" s="482"/>
      <c r="C335" s="482"/>
      <c r="D335" s="482"/>
      <c r="E335" s="482"/>
      <c r="F335" s="482"/>
      <c r="G335" s="482"/>
      <c r="H335" s="503">
        <f>SUM(A333:G333)+(SUM(A334:G334)+SUM(A335:G335))</f>
        <v>0</v>
      </c>
      <c r="I335" s="504" t="str">
        <f>IF(AND(H335&gt;0,H335&lt;=95),"A",IF(AND(H335&gt;95,H335&lt;=110),"B",IF(AND(H335&gt;110,H335&lt;=130),"C",IF(AND(H335&gt;130,H335&lt;=160),"D",IF(H335&gt;160,"E","ND")))))</f>
        <v>ND</v>
      </c>
    </row>
    <row r="336" spans="1:9" ht="15.75">
      <c r="A336" s="483"/>
      <c r="B336" s="483"/>
      <c r="C336" s="483"/>
      <c r="D336" s="483"/>
      <c r="E336" s="484"/>
      <c r="F336" s="484"/>
      <c r="G336" s="484"/>
      <c r="H336" s="487"/>
      <c r="I336" s="502"/>
    </row>
    <row r="337" spans="1:9" ht="15.75">
      <c r="A337" s="470" t="s">
        <v>306</v>
      </c>
      <c r="B337" s="471"/>
      <c r="C337" s="471"/>
      <c r="D337" s="483"/>
      <c r="E337" s="484"/>
      <c r="F337" s="484"/>
      <c r="G337" s="484"/>
      <c r="H337" s="487"/>
      <c r="I337" s="502"/>
    </row>
    <row r="338" spans="1:9" ht="15.75">
      <c r="A338" s="482"/>
      <c r="B338" s="482"/>
      <c r="C338" s="482"/>
      <c r="D338" s="482"/>
      <c r="E338" s="482"/>
      <c r="F338" s="482"/>
      <c r="G338" s="482"/>
      <c r="H338" s="487"/>
      <c r="I338" s="502"/>
    </row>
    <row r="339" spans="1:9" ht="15.75">
      <c r="A339" s="482"/>
      <c r="B339" s="482"/>
      <c r="C339" s="482"/>
      <c r="D339" s="482"/>
      <c r="E339" s="482"/>
      <c r="F339" s="482"/>
      <c r="G339" s="482"/>
      <c r="H339" s="487"/>
      <c r="I339" s="502"/>
    </row>
    <row r="340" spans="1:9" ht="15.75">
      <c r="A340" s="482"/>
      <c r="B340" s="482"/>
      <c r="C340" s="482"/>
      <c r="D340" s="482"/>
      <c r="E340" s="482"/>
      <c r="F340" s="482"/>
      <c r="G340" s="482"/>
      <c r="H340" s="503">
        <f>SUM(A338:G338)+(SUM(A339:G339)+SUM(A340:G340))</f>
        <v>0</v>
      </c>
      <c r="I340" s="502"/>
    </row>
    <row r="341" spans="1:9" ht="15.75">
      <c r="A341" s="483"/>
      <c r="B341" s="483"/>
      <c r="C341" s="483"/>
      <c r="D341" s="483"/>
      <c r="E341" s="484"/>
      <c r="F341" s="484"/>
      <c r="G341" s="484"/>
      <c r="H341" s="487"/>
      <c r="I341" s="502"/>
    </row>
    <row r="342" spans="1:9" ht="15.75">
      <c r="A342" s="483"/>
      <c r="B342" s="483"/>
      <c r="C342" s="483"/>
      <c r="D342" s="483"/>
      <c r="E342" s="484"/>
      <c r="F342" s="484"/>
      <c r="G342" s="484"/>
      <c r="H342" s="487"/>
      <c r="I342" s="502"/>
    </row>
    <row r="343" spans="1:9" ht="15.75">
      <c r="A343" s="472" t="s">
        <v>323</v>
      </c>
      <c r="B343" s="472"/>
      <c r="C343" s="472"/>
      <c r="D343" s="485"/>
      <c r="E343" s="486"/>
      <c r="F343" s="486"/>
      <c r="G343" s="486"/>
      <c r="H343" s="487"/>
      <c r="I343" s="502"/>
    </row>
    <row r="344" spans="1:9" ht="15.75">
      <c r="A344" s="580"/>
      <c r="B344" s="581"/>
      <c r="C344" s="581"/>
      <c r="D344" s="581"/>
      <c r="E344" s="581"/>
      <c r="F344" s="581"/>
      <c r="G344" s="582"/>
      <c r="H344" s="487"/>
      <c r="I344" s="502"/>
    </row>
    <row r="345" spans="1:9" ht="15.75">
      <c r="A345" s="470" t="s">
        <v>305</v>
      </c>
      <c r="B345" s="471"/>
      <c r="C345" s="471"/>
      <c r="D345" s="479"/>
      <c r="E345" s="480"/>
      <c r="F345" s="480"/>
      <c r="G345" s="480"/>
      <c r="H345" s="505"/>
      <c r="I345" s="502"/>
    </row>
    <row r="346" spans="1:9" ht="15.75">
      <c r="A346" s="482"/>
      <c r="B346" s="482"/>
      <c r="C346" s="482"/>
      <c r="D346" s="482"/>
      <c r="E346" s="482"/>
      <c r="F346" s="482"/>
      <c r="G346" s="482"/>
      <c r="H346" s="487"/>
      <c r="I346" s="502"/>
    </row>
    <row r="347" spans="1:9" ht="15.75">
      <c r="A347" s="482"/>
      <c r="B347" s="482"/>
      <c r="C347" s="482"/>
      <c r="D347" s="482"/>
      <c r="E347" s="482"/>
      <c r="F347" s="482"/>
      <c r="G347" s="482"/>
      <c r="H347" s="487"/>
      <c r="I347" s="502"/>
    </row>
    <row r="348" spans="1:9" ht="15.75">
      <c r="A348" s="482"/>
      <c r="B348" s="482"/>
      <c r="C348" s="482"/>
      <c r="D348" s="482"/>
      <c r="E348" s="482"/>
      <c r="F348" s="482"/>
      <c r="G348" s="482"/>
      <c r="H348" s="503">
        <f>SUM(A346:G346)+(SUM(A347:G347)+SUM(A348:G348))</f>
        <v>0</v>
      </c>
      <c r="I348" s="504" t="str">
        <f>IF(AND(H348&gt;0,H348&lt;=95),"A",IF(AND(H348&gt;95,H348&lt;=110),"B",IF(AND(H348&gt;110,H348&lt;=130),"C",IF(AND(H348&gt;130,H348&lt;=160),"D",IF(H348&gt;160,"E","ND")))))</f>
        <v>ND</v>
      </c>
    </row>
    <row r="349" spans="1:9" ht="15.75">
      <c r="A349" s="483"/>
      <c r="B349" s="483"/>
      <c r="C349" s="483"/>
      <c r="D349" s="483"/>
      <c r="E349" s="484"/>
      <c r="F349" s="484"/>
      <c r="G349" s="484"/>
      <c r="H349" s="487"/>
      <c r="I349" s="502"/>
    </row>
    <row r="350" spans="1:9" ht="15.75">
      <c r="A350" s="470" t="s">
        <v>306</v>
      </c>
      <c r="B350" s="471"/>
      <c r="C350" s="471"/>
      <c r="D350" s="483"/>
      <c r="E350" s="484"/>
      <c r="F350" s="484"/>
      <c r="G350" s="484"/>
      <c r="H350" s="487"/>
      <c r="I350" s="502"/>
    </row>
    <row r="351" spans="1:9" ht="15.75">
      <c r="A351" s="482"/>
      <c r="B351" s="482"/>
      <c r="C351" s="482"/>
      <c r="D351" s="482"/>
      <c r="E351" s="482"/>
      <c r="F351" s="482"/>
      <c r="G351" s="482"/>
      <c r="H351" s="487"/>
      <c r="I351" s="502"/>
    </row>
    <row r="352" spans="1:9" ht="15.75">
      <c r="A352" s="482"/>
      <c r="B352" s="482"/>
      <c r="C352" s="482"/>
      <c r="D352" s="482"/>
      <c r="E352" s="482"/>
      <c r="F352" s="482"/>
      <c r="G352" s="482"/>
      <c r="H352" s="487"/>
      <c r="I352" s="502"/>
    </row>
    <row r="353" spans="1:9" ht="15.75">
      <c r="A353" s="482"/>
      <c r="B353" s="482"/>
      <c r="C353" s="482"/>
      <c r="D353" s="482"/>
      <c r="E353" s="482"/>
      <c r="F353" s="482"/>
      <c r="G353" s="482"/>
      <c r="H353" s="503">
        <f>SUM(A351:G351)+(SUM(A352:G352)+SUM(A353:G353))</f>
        <v>0</v>
      </c>
      <c r="I353" s="502"/>
    </row>
    <row r="354" spans="1:9" ht="15.75">
      <c r="A354" s="483"/>
      <c r="B354" s="483"/>
      <c r="C354" s="483"/>
      <c r="D354" s="483"/>
      <c r="E354" s="484"/>
      <c r="F354" s="484"/>
      <c r="G354" s="484"/>
      <c r="H354" s="487"/>
      <c r="I354" s="502"/>
    </row>
    <row r="355" spans="1:9" ht="15.75">
      <c r="A355" s="478"/>
      <c r="B355" s="475"/>
      <c r="C355" s="475"/>
      <c r="D355" s="475"/>
      <c r="E355" s="475"/>
      <c r="F355" s="475"/>
      <c r="G355" s="475"/>
      <c r="H355" s="501"/>
      <c r="I355" s="502"/>
    </row>
    <row r="356" spans="1:9" ht="15.75">
      <c r="A356" s="472" t="s">
        <v>324</v>
      </c>
      <c r="B356" s="472"/>
      <c r="C356" s="472"/>
      <c r="D356" s="475"/>
      <c r="E356" s="475"/>
      <c r="F356" s="475"/>
      <c r="G356" s="475"/>
      <c r="H356" s="501"/>
      <c r="I356" s="502"/>
    </row>
    <row r="357" spans="1:9" ht="15.75">
      <c r="A357" s="583"/>
      <c r="B357" s="584"/>
      <c r="C357" s="584"/>
      <c r="D357" s="584"/>
      <c r="E357" s="584"/>
      <c r="F357" s="584"/>
      <c r="G357" s="585"/>
      <c r="H357" s="501"/>
      <c r="I357" s="502"/>
    </row>
    <row r="358" spans="1:9" ht="15.75">
      <c r="A358" s="470" t="s">
        <v>305</v>
      </c>
      <c r="B358" s="471"/>
      <c r="C358" s="471"/>
      <c r="D358" s="479"/>
      <c r="E358" s="480"/>
      <c r="F358" s="480"/>
      <c r="G358" s="480"/>
      <c r="H358" s="505"/>
      <c r="I358" s="502"/>
    </row>
    <row r="359" spans="1:9" ht="15.75">
      <c r="A359" s="482"/>
      <c r="B359" s="482"/>
      <c r="C359" s="482"/>
      <c r="D359" s="482"/>
      <c r="E359" s="482"/>
      <c r="F359" s="482"/>
      <c r="G359" s="482"/>
      <c r="H359" s="487"/>
      <c r="I359" s="502"/>
    </row>
    <row r="360" spans="1:9" ht="15.75">
      <c r="A360" s="482"/>
      <c r="B360" s="482"/>
      <c r="C360" s="482"/>
      <c r="D360" s="482"/>
      <c r="E360" s="482"/>
      <c r="F360" s="482"/>
      <c r="G360" s="482"/>
      <c r="H360" s="487"/>
      <c r="I360" s="502"/>
    </row>
    <row r="361" spans="1:9" ht="15.75">
      <c r="A361" s="482"/>
      <c r="B361" s="482"/>
      <c r="C361" s="482"/>
      <c r="D361" s="482"/>
      <c r="E361" s="482"/>
      <c r="F361" s="482"/>
      <c r="G361" s="482"/>
      <c r="H361" s="503">
        <f>SUM(A359:G359)+(SUM(A360:G360)+SUM(A361:G361))</f>
        <v>0</v>
      </c>
      <c r="I361" s="504" t="str">
        <f>IF(AND(H361&gt;0,H361&lt;=95),"A",IF(AND(H361&gt;95,H361&lt;=110),"B",IF(AND(H361&gt;110,H361&lt;=130),"C",IF(AND(H361&gt;130,H361&lt;=160),"D",IF(H361&gt;160,"E","ND")))))</f>
        <v>ND</v>
      </c>
    </row>
    <row r="362" spans="1:9" ht="15.75">
      <c r="A362" s="483"/>
      <c r="B362" s="483"/>
      <c r="C362" s="483"/>
      <c r="D362" s="483"/>
      <c r="E362" s="484"/>
      <c r="F362" s="484"/>
      <c r="G362" s="484"/>
      <c r="H362" s="487"/>
      <c r="I362" s="502"/>
    </row>
    <row r="363" spans="1:9" ht="15.75">
      <c r="A363" s="470" t="s">
        <v>306</v>
      </c>
      <c r="B363" s="471"/>
      <c r="C363" s="471"/>
      <c r="D363" s="483"/>
      <c r="E363" s="484"/>
      <c r="F363" s="484"/>
      <c r="G363" s="484"/>
      <c r="H363" s="487"/>
      <c r="I363" s="502"/>
    </row>
    <row r="364" spans="1:9" ht="15.75">
      <c r="A364" s="482"/>
      <c r="B364" s="482"/>
      <c r="C364" s="482"/>
      <c r="D364" s="482"/>
      <c r="E364" s="482"/>
      <c r="F364" s="482"/>
      <c r="G364" s="482"/>
      <c r="H364" s="487"/>
      <c r="I364" s="502"/>
    </row>
    <row r="365" spans="1:9" ht="15.75">
      <c r="A365" s="482"/>
      <c r="B365" s="482"/>
      <c r="C365" s="482"/>
      <c r="D365" s="482"/>
      <c r="E365" s="482"/>
      <c r="F365" s="482"/>
      <c r="G365" s="482"/>
      <c r="H365" s="487"/>
      <c r="I365" s="502"/>
    </row>
    <row r="366" spans="1:9" ht="15.75">
      <c r="A366" s="482"/>
      <c r="B366" s="482"/>
      <c r="C366" s="482"/>
      <c r="D366" s="482"/>
      <c r="E366" s="482"/>
      <c r="F366" s="482"/>
      <c r="G366" s="482"/>
      <c r="H366" s="503">
        <f>SUM(A364:G364)+(SUM(A365:G365)+SUM(A366:G366))</f>
        <v>0</v>
      </c>
      <c r="I366" s="502"/>
    </row>
    <row r="367" spans="1:9" ht="15.75">
      <c r="A367" s="483"/>
      <c r="B367" s="483"/>
      <c r="C367" s="483"/>
      <c r="D367" s="483"/>
      <c r="E367" s="484"/>
      <c r="F367" s="484"/>
      <c r="G367" s="484"/>
      <c r="H367" s="487"/>
      <c r="I367" s="502"/>
    </row>
    <row r="368" spans="1:9" ht="15.75">
      <c r="A368" s="483"/>
      <c r="B368" s="483"/>
      <c r="C368" s="483"/>
      <c r="D368" s="483"/>
      <c r="E368" s="484"/>
      <c r="F368" s="484"/>
      <c r="G368" s="484"/>
      <c r="H368" s="487"/>
      <c r="I368" s="502"/>
    </row>
    <row r="369" spans="1:9" ht="15.75">
      <c r="A369" s="472" t="s">
        <v>325</v>
      </c>
      <c r="B369" s="472"/>
      <c r="C369" s="472"/>
      <c r="D369" s="485"/>
      <c r="E369" s="486"/>
      <c r="F369" s="486"/>
      <c r="G369" s="486"/>
      <c r="H369" s="487"/>
      <c r="I369" s="502"/>
    </row>
    <row r="370" spans="1:9" ht="15.75">
      <c r="A370" s="580"/>
      <c r="B370" s="581"/>
      <c r="C370" s="581"/>
      <c r="D370" s="581"/>
      <c r="E370" s="581"/>
      <c r="F370" s="581"/>
      <c r="G370" s="582"/>
      <c r="H370" s="487"/>
      <c r="I370" s="502"/>
    </row>
    <row r="371" spans="1:9" ht="15.75">
      <c r="A371" s="470" t="s">
        <v>305</v>
      </c>
      <c r="B371" s="471"/>
      <c r="C371" s="471"/>
      <c r="D371" s="479"/>
      <c r="E371" s="480"/>
      <c r="F371" s="480"/>
      <c r="G371" s="480"/>
      <c r="H371" s="505"/>
      <c r="I371" s="502"/>
    </row>
    <row r="372" spans="1:9" ht="15.75">
      <c r="A372" s="482"/>
      <c r="B372" s="482"/>
      <c r="C372" s="482"/>
      <c r="D372" s="482"/>
      <c r="E372" s="482"/>
      <c r="F372" s="482"/>
      <c r="G372" s="482"/>
      <c r="H372" s="487"/>
      <c r="I372" s="502"/>
    </row>
    <row r="373" spans="1:9" ht="15.75">
      <c r="A373" s="482"/>
      <c r="B373" s="482"/>
      <c r="C373" s="482"/>
      <c r="D373" s="482"/>
      <c r="E373" s="482"/>
      <c r="F373" s="482"/>
      <c r="G373" s="482"/>
      <c r="H373" s="487"/>
      <c r="I373" s="502"/>
    </row>
    <row r="374" spans="1:9" ht="15.75">
      <c r="A374" s="482"/>
      <c r="B374" s="482"/>
      <c r="C374" s="482"/>
      <c r="D374" s="482"/>
      <c r="E374" s="482"/>
      <c r="F374" s="482"/>
      <c r="G374" s="482"/>
      <c r="H374" s="503">
        <f>SUM(A372:G372)+(SUM(A373:G373)+SUM(A374:G374))</f>
        <v>0</v>
      </c>
      <c r="I374" s="504" t="str">
        <f>IF(AND(H374&gt;0,H374&lt;=95),"A",IF(AND(H374&gt;95,H374&lt;=110),"B",IF(AND(H374&gt;110,H374&lt;=130),"C",IF(AND(H374&gt;130,H374&lt;=160),"D",IF(H374&gt;160,"E","ND")))))</f>
        <v>ND</v>
      </c>
    </row>
    <row r="375" spans="1:9" ht="15.75">
      <c r="A375" s="483"/>
      <c r="B375" s="483"/>
      <c r="C375" s="483"/>
      <c r="D375" s="483"/>
      <c r="E375" s="484"/>
      <c r="F375" s="484"/>
      <c r="G375" s="484"/>
      <c r="H375" s="487"/>
      <c r="I375" s="502"/>
    </row>
    <row r="376" spans="1:9" ht="15.75">
      <c r="A376" s="470" t="s">
        <v>306</v>
      </c>
      <c r="B376" s="471"/>
      <c r="C376" s="471"/>
      <c r="D376" s="483"/>
      <c r="E376" s="484"/>
      <c r="F376" s="484"/>
      <c r="G376" s="484"/>
      <c r="H376" s="487"/>
      <c r="I376" s="502"/>
    </row>
    <row r="377" spans="1:9" ht="15.75">
      <c r="A377" s="482"/>
      <c r="B377" s="482"/>
      <c r="C377" s="482"/>
      <c r="D377" s="482"/>
      <c r="E377" s="482"/>
      <c r="F377" s="482"/>
      <c r="G377" s="482"/>
      <c r="H377" s="487"/>
      <c r="I377" s="502"/>
    </row>
    <row r="378" spans="1:9" ht="15.75">
      <c r="A378" s="482"/>
      <c r="B378" s="482"/>
      <c r="C378" s="482"/>
      <c r="D378" s="482"/>
      <c r="E378" s="482"/>
      <c r="F378" s="482"/>
      <c r="G378" s="482"/>
      <c r="H378" s="487"/>
      <c r="I378" s="502"/>
    </row>
    <row r="379" spans="1:9" ht="15.75">
      <c r="A379" s="482"/>
      <c r="B379" s="482"/>
      <c r="C379" s="482"/>
      <c r="D379" s="482"/>
      <c r="E379" s="482"/>
      <c r="F379" s="482"/>
      <c r="G379" s="482"/>
      <c r="H379" s="503">
        <f>SUM(A377:G377)+(SUM(A378:G378)+SUM(A379:G379))</f>
        <v>0</v>
      </c>
      <c r="I379" s="502"/>
    </row>
    <row r="380" spans="1:9" ht="12.75">
      <c r="A380" s="483"/>
      <c r="B380" s="483"/>
      <c r="C380" s="483"/>
      <c r="D380" s="483"/>
      <c r="E380" s="484"/>
      <c r="F380" s="484"/>
      <c r="G380" s="484"/>
      <c r="H380" s="476"/>
      <c r="I380" s="477"/>
    </row>
    <row r="381" spans="1:9" ht="12.75">
      <c r="A381" s="483"/>
      <c r="B381" s="483"/>
      <c r="C381" s="483"/>
      <c r="D381" s="483"/>
      <c r="E381" s="484"/>
      <c r="F381" s="484"/>
      <c r="G381" s="484"/>
      <c r="H381" s="476"/>
      <c r="I381" s="477"/>
    </row>
    <row r="382" spans="1:9" ht="12.75">
      <c r="A382" s="483"/>
      <c r="B382" s="483"/>
      <c r="C382" s="483"/>
      <c r="D382" s="483"/>
      <c r="E382" s="484"/>
      <c r="F382" s="484"/>
      <c r="G382" s="484"/>
      <c r="H382" s="476"/>
      <c r="I382" s="477"/>
    </row>
    <row r="383" spans="1:9" ht="12.75">
      <c r="A383" s="483"/>
      <c r="B383" s="483"/>
      <c r="C383" s="483"/>
      <c r="D383" s="483"/>
      <c r="E383" s="484"/>
      <c r="F383" s="484"/>
      <c r="G383" s="484"/>
      <c r="H383" s="476"/>
      <c r="I383" s="477"/>
    </row>
    <row r="384" spans="1:9" ht="15.75">
      <c r="A384" s="594" t="s">
        <v>305</v>
      </c>
      <c r="B384" s="594"/>
      <c r="C384" s="594"/>
      <c r="D384" s="497" t="s">
        <v>326</v>
      </c>
      <c r="E384" s="498">
        <f>H127+H140+H153+H166+H179+H192+H205+H218+H231+H244+H257+H270+H283+H296+H309+H322+H335+H348+H361+H374</f>
        <v>0</v>
      </c>
      <c r="F384" s="484"/>
      <c r="G384" s="484"/>
      <c r="H384" s="476"/>
      <c r="I384" s="477"/>
    </row>
    <row r="385" spans="1:9" ht="15.75">
      <c r="A385" s="486"/>
      <c r="B385" s="486"/>
      <c r="C385" s="486"/>
      <c r="D385" s="488"/>
      <c r="E385" s="489"/>
      <c r="F385" s="484"/>
      <c r="G385" s="484"/>
      <c r="H385" s="476"/>
      <c r="I385" s="477"/>
    </row>
    <row r="386" spans="1:9" ht="15.75">
      <c r="A386" s="594" t="s">
        <v>306</v>
      </c>
      <c r="B386" s="594"/>
      <c r="C386" s="594"/>
      <c r="D386" s="497" t="s">
        <v>326</v>
      </c>
      <c r="E386" s="498">
        <f>+H120+H132+H145+H158+H171+H184+H197+H210+H223+H236+H249+H262+H275+H288+H301+H314+H327+H340+H353+H366+H379</f>
        <v>0</v>
      </c>
      <c r="F386" s="484"/>
      <c r="G386" s="484"/>
      <c r="H386" s="476"/>
      <c r="I386" s="477"/>
    </row>
    <row r="387" spans="1:9" ht="15.75">
      <c r="A387" s="486"/>
      <c r="B387" s="486"/>
      <c r="C387" s="486"/>
      <c r="D387" s="488"/>
      <c r="E387" s="487"/>
      <c r="F387" s="484"/>
      <c r="G387" s="484"/>
      <c r="H387" s="476"/>
      <c r="I387" s="477"/>
    </row>
    <row r="388" spans="1:9" ht="15">
      <c r="A388" s="595"/>
      <c r="B388" s="595"/>
      <c r="C388" s="595" t="s">
        <v>334</v>
      </c>
      <c r="D388" s="595"/>
      <c r="E388" s="499"/>
      <c r="F388" s="499" t="s">
        <v>327</v>
      </c>
      <c r="G388" s="484"/>
      <c r="H388" s="476"/>
      <c r="I388" s="477"/>
    </row>
    <row r="389" spans="1:9" ht="15.75">
      <c r="A389" s="596"/>
      <c r="B389" s="596"/>
      <c r="C389" s="597" t="s">
        <v>328</v>
      </c>
      <c r="D389" s="597"/>
      <c r="E389" s="510">
        <f>COUNTIF(I127:I374,"A")</f>
        <v>0</v>
      </c>
      <c r="F389" s="511">
        <f>SUMIF(I127:I374,"A",H127:H374)</f>
        <v>0</v>
      </c>
      <c r="G389" s="484"/>
      <c r="H389" s="476"/>
      <c r="I389" s="477"/>
    </row>
    <row r="390" spans="1:9" ht="15.75">
      <c r="A390" s="596"/>
      <c r="B390" s="596"/>
      <c r="C390" s="597" t="s">
        <v>329</v>
      </c>
      <c r="D390" s="597"/>
      <c r="E390" s="510">
        <f>COUNTIF(I127:I374,"B")</f>
        <v>0</v>
      </c>
      <c r="F390" s="511">
        <f>SUMIF(I127:I374,"B",H127:H374)</f>
        <v>0</v>
      </c>
      <c r="G390" s="484"/>
      <c r="H390" s="476"/>
      <c r="I390" s="477"/>
    </row>
    <row r="391" spans="1:9" ht="15.75">
      <c r="A391" s="596"/>
      <c r="B391" s="596"/>
      <c r="C391" s="597" t="s">
        <v>330</v>
      </c>
      <c r="D391" s="597"/>
      <c r="E391" s="510">
        <f>COUNTIF(I127:I374,"C")</f>
        <v>0</v>
      </c>
      <c r="F391" s="511">
        <f>SUMIF(I127:I374,"C",H127:H374)</f>
        <v>0</v>
      </c>
      <c r="G391" s="484"/>
      <c r="H391" s="476"/>
      <c r="I391" s="477"/>
    </row>
    <row r="392" spans="1:9" ht="15.75">
      <c r="A392" s="592"/>
      <c r="B392" s="592"/>
      <c r="C392" s="613" t="s">
        <v>331</v>
      </c>
      <c r="D392" s="613"/>
      <c r="E392" s="510">
        <v>0</v>
      </c>
      <c r="F392" s="511">
        <f>SUMIF(I127:I374,"D",H127:H374)</f>
        <v>0</v>
      </c>
      <c r="G392" s="486"/>
      <c r="H392" s="487"/>
      <c r="I392" s="477"/>
    </row>
    <row r="393" spans="1:9" ht="15.75">
      <c r="A393" s="592"/>
      <c r="B393" s="592"/>
      <c r="C393" s="613" t="s">
        <v>332</v>
      </c>
      <c r="D393" s="613"/>
      <c r="E393" s="510">
        <f>COUNTIF(I127:I374,"E")</f>
        <v>0</v>
      </c>
      <c r="F393" s="511">
        <f>SUMIF(I127:I374,"E",H127:H374)</f>
        <v>0</v>
      </c>
      <c r="G393" s="480"/>
      <c r="H393" s="481"/>
      <c r="I393" s="477"/>
    </row>
  </sheetData>
  <sheetProtection password="D179" sheet="1"/>
  <mergeCells count="101">
    <mergeCell ref="H3:O3"/>
    <mergeCell ref="J5:N5"/>
    <mergeCell ref="P5:T5"/>
    <mergeCell ref="J9:N9"/>
    <mergeCell ref="P9:T9"/>
    <mergeCell ref="A135:C135"/>
    <mergeCell ref="A136:G136"/>
    <mergeCell ref="A11:D11"/>
    <mergeCell ref="H15:J15"/>
    <mergeCell ref="A111:C111"/>
    <mergeCell ref="A123:C123"/>
    <mergeCell ref="A124:G124"/>
    <mergeCell ref="A129:C129"/>
    <mergeCell ref="A174:C174"/>
    <mergeCell ref="A175:G175"/>
    <mergeCell ref="A137:C137"/>
    <mergeCell ref="A142:C142"/>
    <mergeCell ref="A148:C148"/>
    <mergeCell ref="A149:G149"/>
    <mergeCell ref="A150:C150"/>
    <mergeCell ref="A155:C155"/>
    <mergeCell ref="A161:C161"/>
    <mergeCell ref="A162:G162"/>
    <mergeCell ref="A163:C163"/>
    <mergeCell ref="A168:C168"/>
    <mergeCell ref="A213:C213"/>
    <mergeCell ref="A214:G214"/>
    <mergeCell ref="A176:C176"/>
    <mergeCell ref="A181:C181"/>
    <mergeCell ref="A187:C187"/>
    <mergeCell ref="A188:G188"/>
    <mergeCell ref="A189:C189"/>
    <mergeCell ref="A194:C194"/>
    <mergeCell ref="A200:C200"/>
    <mergeCell ref="A201:G201"/>
    <mergeCell ref="A202:C202"/>
    <mergeCell ref="A207:C207"/>
    <mergeCell ref="A252:C252"/>
    <mergeCell ref="A253:G253"/>
    <mergeCell ref="A215:C215"/>
    <mergeCell ref="A220:C220"/>
    <mergeCell ref="A226:C226"/>
    <mergeCell ref="A227:G227"/>
    <mergeCell ref="A228:C228"/>
    <mergeCell ref="A233:C233"/>
    <mergeCell ref="A239:C239"/>
    <mergeCell ref="A240:G240"/>
    <mergeCell ref="A241:C241"/>
    <mergeCell ref="A246:C246"/>
    <mergeCell ref="A291:C291"/>
    <mergeCell ref="A292:G292"/>
    <mergeCell ref="A254:C254"/>
    <mergeCell ref="A259:C259"/>
    <mergeCell ref="A265:C265"/>
    <mergeCell ref="A266:G266"/>
    <mergeCell ref="A267:C267"/>
    <mergeCell ref="A272:C272"/>
    <mergeCell ref="A278:C278"/>
    <mergeCell ref="A279:G279"/>
    <mergeCell ref="A280:C280"/>
    <mergeCell ref="A285:C285"/>
    <mergeCell ref="A330:C330"/>
    <mergeCell ref="A331:G331"/>
    <mergeCell ref="A293:C293"/>
    <mergeCell ref="A298:C298"/>
    <mergeCell ref="A304:C304"/>
    <mergeCell ref="A305:G305"/>
    <mergeCell ref="A306:C306"/>
    <mergeCell ref="A311:C311"/>
    <mergeCell ref="A317:C317"/>
    <mergeCell ref="A318:G318"/>
    <mergeCell ref="A319:C319"/>
    <mergeCell ref="A324:C324"/>
    <mergeCell ref="A369:C369"/>
    <mergeCell ref="A370:G370"/>
    <mergeCell ref="A332:C332"/>
    <mergeCell ref="A337:C337"/>
    <mergeCell ref="A343:C343"/>
    <mergeCell ref="A344:G344"/>
    <mergeCell ref="A345:C345"/>
    <mergeCell ref="A350:C350"/>
    <mergeCell ref="A356:C356"/>
    <mergeCell ref="A357:G357"/>
    <mergeCell ref="A358:C358"/>
    <mergeCell ref="A363:C363"/>
    <mergeCell ref="A391:B391"/>
    <mergeCell ref="C391:D391"/>
    <mergeCell ref="A371:C371"/>
    <mergeCell ref="A376:C376"/>
    <mergeCell ref="A384:C384"/>
    <mergeCell ref="A386:C386"/>
    <mergeCell ref="A388:B388"/>
    <mergeCell ref="C388:D388"/>
    <mergeCell ref="A389:B389"/>
    <mergeCell ref="C389:D389"/>
    <mergeCell ref="A390:B390"/>
    <mergeCell ref="C390:D390"/>
    <mergeCell ref="A392:B392"/>
    <mergeCell ref="C392:D392"/>
    <mergeCell ref="A393:B393"/>
    <mergeCell ref="C393:D393"/>
  </mergeCells>
  <printOptions/>
  <pageMargins left="0.7875" right="0.7875" top="1.025" bottom="1.025" header="0.7875" footer="0.7875"/>
  <pageSetup horizontalDpi="300" verticalDpi="300" orientation="portrait" paperSize="9" r:id="rId2"/>
  <headerFooter alignWithMargins="0">
    <oddHeader>&amp;C&amp;A</oddHeader>
    <oddFooter>&amp;CPagina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77"/>
  <sheetViews>
    <sheetView zoomScalePageLayoutView="0" workbookViewId="0" topLeftCell="C10">
      <selection activeCell="H20" sqref="H20:M20"/>
    </sheetView>
  </sheetViews>
  <sheetFormatPr defaultColWidth="34.7109375" defaultRowHeight="12.75"/>
  <cols>
    <col min="1" max="4" width="18.421875" style="1" customWidth="1"/>
    <col min="5" max="5" width="17.7109375" style="1" customWidth="1"/>
    <col min="6" max="6" width="12.7109375" style="1" customWidth="1"/>
    <col min="7" max="7" width="11.8515625" style="28" customWidth="1"/>
    <col min="8" max="8" width="12.57421875" style="1" customWidth="1"/>
    <col min="9" max="9" width="10.140625" style="1" customWidth="1"/>
    <col min="10" max="10" width="10.57421875" style="1" customWidth="1"/>
    <col min="11" max="11" width="17.00390625" style="1" customWidth="1"/>
    <col min="12" max="12" width="25.57421875" style="1" customWidth="1"/>
    <col min="13" max="13" width="13.00390625" style="1" customWidth="1"/>
    <col min="14" max="14" width="22.7109375" style="1" customWidth="1"/>
    <col min="15" max="17" width="20.28125" style="1" customWidth="1"/>
    <col min="18" max="18" width="18.421875" style="1" customWidth="1"/>
    <col min="19" max="19" width="25.57421875" style="1" customWidth="1"/>
    <col min="20" max="16384" width="34.7109375" style="1" customWidth="1"/>
  </cols>
  <sheetData>
    <row r="1" spans="1:8" s="28" customFormat="1" ht="18">
      <c r="A1" s="1"/>
      <c r="B1" s="1"/>
      <c r="H1" s="73"/>
    </row>
    <row r="2" spans="6:13" ht="127.5" customHeight="1">
      <c r="F2" s="28"/>
      <c r="H2" s="73"/>
      <c r="I2" s="28"/>
      <c r="K2" s="617" t="s">
        <v>104</v>
      </c>
      <c r="L2" s="617"/>
      <c r="M2" s="617"/>
    </row>
    <row r="4" spans="8:19" ht="12.75" customHeight="1" thickBot="1">
      <c r="H4" s="303" t="s">
        <v>75</v>
      </c>
      <c r="I4" s="303" t="s">
        <v>76</v>
      </c>
      <c r="J4" s="294"/>
      <c r="K4" s="231" t="s">
        <v>77</v>
      </c>
      <c r="L4" s="231" t="s">
        <v>33</v>
      </c>
      <c r="M4" s="304" t="s">
        <v>105</v>
      </c>
      <c r="N4" s="623" t="s">
        <v>80</v>
      </c>
      <c r="O4" s="623"/>
      <c r="P4" s="623"/>
      <c r="Q4" s="623"/>
      <c r="R4" s="623"/>
      <c r="S4" s="212"/>
    </row>
    <row r="5" spans="8:19" ht="300.75" customHeight="1" thickBot="1">
      <c r="H5" s="305" t="s">
        <v>81</v>
      </c>
      <c r="I5" s="305" t="s">
        <v>82</v>
      </c>
      <c r="J5" s="296"/>
      <c r="K5" s="305" t="s">
        <v>83</v>
      </c>
      <c r="L5" s="305" t="s">
        <v>92</v>
      </c>
      <c r="M5" s="252" t="s">
        <v>106</v>
      </c>
      <c r="N5" s="250" t="s">
        <v>165</v>
      </c>
      <c r="O5" s="251" t="s">
        <v>166</v>
      </c>
      <c r="P5" s="251" t="s">
        <v>147</v>
      </c>
      <c r="Q5" s="251" t="s">
        <v>146</v>
      </c>
      <c r="R5" s="366" t="s">
        <v>267</v>
      </c>
      <c r="S5" s="253" t="s">
        <v>87</v>
      </c>
    </row>
    <row r="6" spans="8:19" ht="13.5" thickBot="1">
      <c r="H6" s="82" t="s">
        <v>88</v>
      </c>
      <c r="I6" s="82" t="s">
        <v>88</v>
      </c>
      <c r="J6" s="74"/>
      <c r="K6" s="242" t="s">
        <v>88</v>
      </c>
      <c r="L6" s="61" t="s">
        <v>89</v>
      </c>
      <c r="M6" s="83" t="s">
        <v>107</v>
      </c>
      <c r="N6" s="63"/>
      <c r="O6" s="63"/>
      <c r="P6" s="63"/>
      <c r="Q6" s="63"/>
      <c r="R6" s="63" t="s">
        <v>135</v>
      </c>
      <c r="S6" s="64"/>
    </row>
    <row r="7" spans="8:19" ht="15.75">
      <c r="H7" s="84">
        <v>0</v>
      </c>
      <c r="I7" s="84">
        <v>0</v>
      </c>
      <c r="J7" s="85"/>
      <c r="K7" s="306">
        <f>+I7+(H7*0.6)</f>
        <v>0</v>
      </c>
      <c r="L7" s="86">
        <v>0</v>
      </c>
      <c r="M7" s="307">
        <v>0.1</v>
      </c>
      <c r="N7" s="624" t="str">
        <f>IF(N6="x","35",IF(O6="x","40",IF(P6="x","35",IF(Q6="x","35",IF(R6="x","0")))))</f>
        <v>0</v>
      </c>
      <c r="O7" s="624"/>
      <c r="P7" s="624"/>
      <c r="Q7" s="624"/>
      <c r="R7" s="624"/>
      <c r="S7" s="254">
        <f>+K7*L7*M7*((100-N7)/100)</f>
        <v>0</v>
      </c>
    </row>
    <row r="9" spans="3:7" ht="27" customHeight="1">
      <c r="C9" s="625" t="s">
        <v>30</v>
      </c>
      <c r="D9" s="625"/>
      <c r="E9" s="625"/>
      <c r="F9" s="625"/>
      <c r="G9" s="71"/>
    </row>
    <row r="10" spans="3:7" ht="13.5" thickBot="1">
      <c r="C10" s="234"/>
      <c r="D10" s="234"/>
      <c r="E10" s="255"/>
      <c r="F10" s="255"/>
      <c r="G10" s="71"/>
    </row>
    <row r="11" spans="3:13" ht="35.25" customHeight="1" thickBot="1">
      <c r="C11" s="308" t="s">
        <v>99</v>
      </c>
      <c r="D11" s="308" t="s">
        <v>100</v>
      </c>
      <c r="E11" s="308" t="s">
        <v>33</v>
      </c>
      <c r="F11" s="309" t="s">
        <v>204</v>
      </c>
      <c r="G11" s="71"/>
      <c r="H11" s="626" t="s">
        <v>335</v>
      </c>
      <c r="I11" s="627"/>
      <c r="J11" s="627"/>
      <c r="K11" s="627"/>
      <c r="L11" s="627"/>
      <c r="M11" s="628"/>
    </row>
    <row r="12" spans="3:13" ht="39.75" customHeight="1" thickBot="1">
      <c r="C12" s="310"/>
      <c r="D12" s="311"/>
      <c r="E12" s="312">
        <v>3191.41</v>
      </c>
      <c r="F12" s="313" t="s">
        <v>205</v>
      </c>
      <c r="G12" s="87"/>
      <c r="H12" s="529"/>
      <c r="I12" s="255"/>
      <c r="J12" s="392"/>
      <c r="K12" s="392"/>
      <c r="L12" s="392"/>
      <c r="M12" s="530"/>
    </row>
    <row r="13" spans="3:13" ht="33" customHeight="1" thickBot="1">
      <c r="C13" s="314"/>
      <c r="D13" s="311"/>
      <c r="E13" s="315">
        <v>2167.19</v>
      </c>
      <c r="F13" s="316" t="s">
        <v>35</v>
      </c>
      <c r="G13" s="87"/>
      <c r="H13" s="524"/>
      <c r="I13" s="255"/>
      <c r="J13" s="368" t="s">
        <v>336</v>
      </c>
      <c r="K13" s="368" t="s">
        <v>293</v>
      </c>
      <c r="L13" s="629" t="s">
        <v>294</v>
      </c>
      <c r="M13" s="530"/>
    </row>
    <row r="14" spans="3:13" ht="42.75" customHeight="1" thickBot="1">
      <c r="C14" s="314"/>
      <c r="D14" s="311"/>
      <c r="E14" s="315">
        <v>1662.5</v>
      </c>
      <c r="F14" s="316" t="s">
        <v>37</v>
      </c>
      <c r="G14" s="87"/>
      <c r="H14" s="525" t="s">
        <v>338</v>
      </c>
      <c r="I14" s="521" t="s">
        <v>112</v>
      </c>
      <c r="J14" s="521" t="s">
        <v>113</v>
      </c>
      <c r="K14" s="521" t="s">
        <v>77</v>
      </c>
      <c r="L14" s="630"/>
      <c r="M14" s="530"/>
    </row>
    <row r="15" spans="3:13" ht="30" customHeight="1" thickBot="1">
      <c r="C15" s="314"/>
      <c r="D15" s="311"/>
      <c r="E15" s="315">
        <v>2315.63</v>
      </c>
      <c r="F15" s="316" t="s">
        <v>206</v>
      </c>
      <c r="G15" s="87"/>
      <c r="H15" s="526"/>
      <c r="I15" s="527">
        <v>0.2804</v>
      </c>
      <c r="J15" s="528">
        <v>55</v>
      </c>
      <c r="K15" s="522"/>
      <c r="L15" s="534" t="e">
        <f>+(H15*I15*J15*1000/K15)*0.475</f>
        <v>#DIV/0!</v>
      </c>
      <c r="M15" s="530"/>
    </row>
    <row r="16" spans="3:13" ht="15.75" customHeight="1">
      <c r="C16" s="314"/>
      <c r="D16" s="311"/>
      <c r="E16" s="315">
        <v>1528.91</v>
      </c>
      <c r="F16" s="316" t="s">
        <v>207</v>
      </c>
      <c r="G16" s="87"/>
      <c r="H16" s="529"/>
      <c r="I16" s="255"/>
      <c r="J16" s="392"/>
      <c r="K16" s="392"/>
      <c r="L16" s="392"/>
      <c r="M16" s="530"/>
    </row>
    <row r="17" spans="3:13" ht="31.5" customHeight="1" thickBot="1">
      <c r="C17" s="314"/>
      <c r="D17" s="311"/>
      <c r="E17" s="315">
        <v>2226.56</v>
      </c>
      <c r="F17" s="316" t="s">
        <v>208</v>
      </c>
      <c r="G17" s="87"/>
      <c r="H17" s="631" t="s">
        <v>342</v>
      </c>
      <c r="I17" s="632"/>
      <c r="J17" s="632"/>
      <c r="K17" s="632"/>
      <c r="L17" s="632"/>
      <c r="M17" s="531"/>
    </row>
    <row r="18" spans="3:7" ht="15.75" customHeight="1">
      <c r="C18" s="314"/>
      <c r="D18" s="311"/>
      <c r="E18" s="315">
        <v>1885.16</v>
      </c>
      <c r="F18" s="316" t="s">
        <v>209</v>
      </c>
      <c r="G18" s="87"/>
    </row>
    <row r="19" spans="3:13" ht="18.75" customHeight="1">
      <c r="C19" s="314"/>
      <c r="D19" s="311"/>
      <c r="E19" s="315">
        <v>1499.22</v>
      </c>
      <c r="F19" s="316" t="s">
        <v>210</v>
      </c>
      <c r="G19" s="87"/>
      <c r="H19" s="622" t="s">
        <v>343</v>
      </c>
      <c r="I19" s="622"/>
      <c r="J19" s="622"/>
      <c r="K19" s="622"/>
      <c r="L19" s="622"/>
      <c r="M19" s="622"/>
    </row>
    <row r="20" spans="3:13" ht="20.25" customHeight="1">
      <c r="C20" s="314"/>
      <c r="D20" s="311"/>
      <c r="E20" s="315">
        <v>1232.03</v>
      </c>
      <c r="F20" s="316" t="s">
        <v>38</v>
      </c>
      <c r="G20" s="87"/>
      <c r="H20" s="622" t="s">
        <v>351</v>
      </c>
      <c r="I20" s="622"/>
      <c r="J20" s="622"/>
      <c r="K20" s="622"/>
      <c r="L20" s="622"/>
      <c r="M20" s="622"/>
    </row>
    <row r="21" spans="3:13" ht="21" customHeight="1">
      <c r="C21" s="314"/>
      <c r="D21" s="311"/>
      <c r="E21" s="315">
        <v>1380.47</v>
      </c>
      <c r="F21" s="316" t="s">
        <v>39</v>
      </c>
      <c r="G21" s="87"/>
      <c r="H21" s="622" t="s">
        <v>345</v>
      </c>
      <c r="I21" s="622"/>
      <c r="J21" s="622"/>
      <c r="K21" s="622"/>
      <c r="L21" s="622"/>
      <c r="M21" s="622"/>
    </row>
    <row r="22" spans="3:13" ht="20.25" customHeight="1">
      <c r="C22" s="314"/>
      <c r="D22" s="311"/>
      <c r="E22" s="315">
        <v>0</v>
      </c>
      <c r="F22" s="316" t="s">
        <v>40</v>
      </c>
      <c r="G22" s="87"/>
      <c r="H22" s="622" t="s">
        <v>346</v>
      </c>
      <c r="I22" s="622"/>
      <c r="J22" s="622"/>
      <c r="K22" s="622"/>
      <c r="L22" s="622"/>
      <c r="M22" s="622"/>
    </row>
    <row r="23" spans="3:7" ht="15.75" customHeight="1">
      <c r="C23" s="314"/>
      <c r="D23" s="311"/>
      <c r="E23" s="315">
        <v>1261.72</v>
      </c>
      <c r="F23" s="316" t="s">
        <v>211</v>
      </c>
      <c r="G23" s="87"/>
    </row>
    <row r="24" spans="3:7" ht="15.75" customHeight="1">
      <c r="C24" s="314"/>
      <c r="D24" s="311"/>
      <c r="E24" s="315">
        <v>1261.72</v>
      </c>
      <c r="F24" s="316" t="s">
        <v>212</v>
      </c>
      <c r="G24" s="87"/>
    </row>
    <row r="25" spans="3:7" ht="15.75" customHeight="1">
      <c r="C25" s="314"/>
      <c r="D25" s="311"/>
      <c r="E25" s="315">
        <v>0</v>
      </c>
      <c r="F25" s="316" t="s">
        <v>213</v>
      </c>
      <c r="G25" s="87"/>
    </row>
    <row r="26" spans="3:7" ht="15.75" customHeight="1">
      <c r="C26" s="314"/>
      <c r="D26" s="311"/>
      <c r="E26" s="315">
        <v>1321.09</v>
      </c>
      <c r="F26" s="316" t="s">
        <v>214</v>
      </c>
      <c r="G26" s="87"/>
    </row>
    <row r="27" spans="3:7" ht="15.75" customHeight="1">
      <c r="C27" s="314"/>
      <c r="D27" s="311"/>
      <c r="E27" s="315">
        <v>1261.72</v>
      </c>
      <c r="F27" s="316" t="s">
        <v>215</v>
      </c>
      <c r="G27" s="87"/>
    </row>
    <row r="28" spans="3:7" ht="15.75" customHeight="1">
      <c r="C28" s="314"/>
      <c r="D28" s="311"/>
      <c r="E28" s="315">
        <v>1410.16</v>
      </c>
      <c r="F28" s="316" t="s">
        <v>216</v>
      </c>
      <c r="G28" s="87"/>
    </row>
    <row r="29" spans="3:7" ht="15.75" customHeight="1">
      <c r="C29" s="314"/>
      <c r="D29" s="311"/>
      <c r="E29" s="315">
        <v>1959.38</v>
      </c>
      <c r="F29" s="316" t="s">
        <v>217</v>
      </c>
      <c r="G29" s="87"/>
    </row>
    <row r="30" spans="3:7" ht="15.75" customHeight="1">
      <c r="C30" s="314"/>
      <c r="D30" s="311"/>
      <c r="E30" s="315">
        <v>1350.78</v>
      </c>
      <c r="F30" s="316" t="s">
        <v>218</v>
      </c>
      <c r="G30" s="87"/>
    </row>
    <row r="31" spans="3:7" ht="15.75" customHeight="1">
      <c r="C31" s="314"/>
      <c r="D31" s="311"/>
      <c r="E31" s="315">
        <v>1083.59</v>
      </c>
      <c r="F31" s="316" t="s">
        <v>219</v>
      </c>
      <c r="G31" s="87"/>
    </row>
    <row r="32" spans="3:7" ht="15.75" customHeight="1">
      <c r="C32" s="314"/>
      <c r="D32" s="311"/>
      <c r="E32" s="315">
        <v>1128.13</v>
      </c>
      <c r="F32" s="316" t="s">
        <v>42</v>
      </c>
      <c r="G32" s="87"/>
    </row>
    <row r="33" spans="3:7" ht="15.75" customHeight="1">
      <c r="C33" s="314"/>
      <c r="D33" s="311"/>
      <c r="E33" s="315">
        <v>1157.81</v>
      </c>
      <c r="F33" s="316" t="s">
        <v>220</v>
      </c>
      <c r="G33" s="87"/>
    </row>
    <row r="34" spans="3:7" ht="15.75" customHeight="1" thickBot="1">
      <c r="C34" s="317"/>
      <c r="D34" s="311"/>
      <c r="E34" s="318">
        <v>1083.59</v>
      </c>
      <c r="F34" s="319" t="s">
        <v>221</v>
      </c>
      <c r="G34" s="87"/>
    </row>
    <row r="35" spans="3:7" ht="26.25" thickBot="1">
      <c r="C35" s="320" t="s">
        <v>101</v>
      </c>
      <c r="D35" s="321" t="s">
        <v>108</v>
      </c>
      <c r="E35" s="320" t="s">
        <v>33</v>
      </c>
      <c r="F35" s="320" t="s">
        <v>204</v>
      </c>
      <c r="G35" s="71"/>
    </row>
    <row r="36" spans="3:7" ht="12.75">
      <c r="C36" s="322"/>
      <c r="D36" s="323"/>
      <c r="E36" s="324">
        <v>1617.97</v>
      </c>
      <c r="F36" s="325" t="s">
        <v>205</v>
      </c>
      <c r="G36" s="87"/>
    </row>
    <row r="37" spans="3:7" ht="12.75">
      <c r="C37" s="322"/>
      <c r="D37" s="323"/>
      <c r="E37" s="326">
        <v>1617.97</v>
      </c>
      <c r="F37" s="327" t="s">
        <v>35</v>
      </c>
      <c r="G37" s="87"/>
    </row>
    <row r="38" spans="3:7" ht="12.75">
      <c r="C38" s="322"/>
      <c r="D38" s="323"/>
      <c r="E38" s="326">
        <v>1499.22</v>
      </c>
      <c r="F38" s="327" t="s">
        <v>37</v>
      </c>
      <c r="G38" s="87"/>
    </row>
    <row r="39" spans="3:7" ht="12.75">
      <c r="C39" s="322"/>
      <c r="D39" s="323"/>
      <c r="E39" s="326">
        <v>1796.09</v>
      </c>
      <c r="F39" s="327" t="s">
        <v>206</v>
      </c>
      <c r="G39" s="87"/>
    </row>
    <row r="40" spans="3:7" ht="12.75">
      <c r="C40" s="322"/>
      <c r="D40" s="323"/>
      <c r="E40" s="326">
        <v>1410.16</v>
      </c>
      <c r="F40" s="327" t="s">
        <v>207</v>
      </c>
      <c r="G40" s="87"/>
    </row>
    <row r="41" spans="3:7" ht="12.75">
      <c r="C41" s="322"/>
      <c r="D41" s="323"/>
      <c r="E41" s="326">
        <v>1499.22</v>
      </c>
      <c r="F41" s="327" t="s">
        <v>208</v>
      </c>
      <c r="G41" s="87"/>
    </row>
    <row r="42" spans="3:7" ht="12.75">
      <c r="C42" s="322"/>
      <c r="D42" s="323"/>
      <c r="E42" s="326">
        <v>1410.16</v>
      </c>
      <c r="F42" s="327" t="s">
        <v>209</v>
      </c>
      <c r="G42" s="87"/>
    </row>
    <row r="43" spans="3:7" ht="12.75">
      <c r="C43" s="322"/>
      <c r="D43" s="323"/>
      <c r="E43" s="326">
        <v>1365.63</v>
      </c>
      <c r="F43" s="327" t="s">
        <v>210</v>
      </c>
      <c r="G43" s="87"/>
    </row>
    <row r="44" spans="3:7" ht="12.75">
      <c r="C44" s="322"/>
      <c r="D44" s="323"/>
      <c r="E44" s="326">
        <v>1202.34</v>
      </c>
      <c r="F44" s="327" t="s">
        <v>38</v>
      </c>
      <c r="G44" s="87"/>
    </row>
    <row r="45" spans="3:7" ht="12.75">
      <c r="C45" s="322"/>
      <c r="D45" s="323"/>
      <c r="E45" s="326">
        <v>1350.78</v>
      </c>
      <c r="F45" s="327" t="s">
        <v>39</v>
      </c>
      <c r="G45" s="87"/>
    </row>
    <row r="46" spans="3:7" ht="12.75">
      <c r="C46" s="322"/>
      <c r="D46" s="323"/>
      <c r="E46" s="326">
        <v>0</v>
      </c>
      <c r="F46" s="327" t="s">
        <v>40</v>
      </c>
      <c r="G46" s="87"/>
    </row>
    <row r="47" spans="3:7" ht="12.75">
      <c r="C47" s="322"/>
      <c r="D47" s="323"/>
      <c r="E47" s="326">
        <v>1202.34</v>
      </c>
      <c r="F47" s="327" t="s">
        <v>211</v>
      </c>
      <c r="G47" s="87"/>
    </row>
    <row r="48" spans="3:7" ht="12.75">
      <c r="C48" s="322"/>
      <c r="D48" s="323"/>
      <c r="E48" s="326">
        <v>1142.97</v>
      </c>
      <c r="F48" s="327" t="s">
        <v>212</v>
      </c>
      <c r="G48" s="87"/>
    </row>
    <row r="49" spans="3:7" ht="12.75">
      <c r="C49" s="322"/>
      <c r="D49" s="323"/>
      <c r="E49" s="326">
        <v>0</v>
      </c>
      <c r="F49" s="327" t="s">
        <v>213</v>
      </c>
      <c r="G49" s="87"/>
    </row>
    <row r="50" spans="3:7" ht="12.75">
      <c r="C50" s="322"/>
      <c r="D50" s="323"/>
      <c r="E50" s="326">
        <v>1232.03</v>
      </c>
      <c r="F50" s="327" t="s">
        <v>214</v>
      </c>
      <c r="G50" s="87"/>
    </row>
    <row r="51" spans="3:7" ht="12.75">
      <c r="C51" s="322"/>
      <c r="D51" s="323"/>
      <c r="E51" s="326">
        <v>1261.72</v>
      </c>
      <c r="F51" s="327" t="s">
        <v>215</v>
      </c>
      <c r="G51" s="87"/>
    </row>
    <row r="52" spans="3:7" ht="12.75">
      <c r="C52" s="322"/>
      <c r="D52" s="323"/>
      <c r="E52" s="326">
        <v>1261.72</v>
      </c>
      <c r="F52" s="327" t="s">
        <v>216</v>
      </c>
      <c r="G52" s="87"/>
    </row>
    <row r="53" spans="3:7" ht="12.75">
      <c r="C53" s="322"/>
      <c r="D53" s="323"/>
      <c r="E53" s="326">
        <v>1350.78</v>
      </c>
      <c r="F53" s="327" t="s">
        <v>217</v>
      </c>
      <c r="G53" s="87"/>
    </row>
    <row r="54" spans="3:7" ht="12.75">
      <c r="C54" s="322"/>
      <c r="D54" s="323"/>
      <c r="E54" s="326">
        <v>1380.47</v>
      </c>
      <c r="F54" s="327" t="s">
        <v>218</v>
      </c>
      <c r="G54" s="87"/>
    </row>
    <row r="55" spans="3:7" ht="12.75">
      <c r="C55" s="322"/>
      <c r="D55" s="323"/>
      <c r="E55" s="326">
        <v>0</v>
      </c>
      <c r="F55" s="327" t="s">
        <v>219</v>
      </c>
      <c r="G55" s="87"/>
    </row>
    <row r="56" spans="3:7" ht="12.75">
      <c r="C56" s="322"/>
      <c r="D56" s="323"/>
      <c r="E56" s="326">
        <v>0</v>
      </c>
      <c r="F56" s="327" t="s">
        <v>42</v>
      </c>
      <c r="G56" s="87"/>
    </row>
    <row r="57" spans="3:7" ht="12.75">
      <c r="C57" s="322"/>
      <c r="D57" s="323"/>
      <c r="E57" s="326">
        <v>0</v>
      </c>
      <c r="F57" s="327" t="s">
        <v>220</v>
      </c>
      <c r="G57" s="87"/>
    </row>
    <row r="58" spans="3:7" ht="13.5" thickBot="1">
      <c r="C58" s="328"/>
      <c r="D58" s="329"/>
      <c r="E58" s="330">
        <v>0</v>
      </c>
      <c r="F58" s="331" t="s">
        <v>221</v>
      </c>
      <c r="G58" s="87"/>
    </row>
    <row r="59" spans="3:7" ht="13.5" hidden="1" thickBot="1">
      <c r="C59" s="161" t="s">
        <v>102</v>
      </c>
      <c r="D59" s="162" t="s">
        <v>103</v>
      </c>
      <c r="E59" s="88" t="s">
        <v>33</v>
      </c>
      <c r="F59" s="89"/>
      <c r="G59" s="71"/>
    </row>
    <row r="60" spans="3:7" ht="12.75" hidden="1">
      <c r="C60" s="90"/>
      <c r="D60" s="91"/>
      <c r="E60" s="92">
        <v>1284.28125</v>
      </c>
      <c r="F60" s="93" t="s">
        <v>35</v>
      </c>
      <c r="G60" s="87"/>
    </row>
    <row r="61" spans="3:7" ht="12.75" hidden="1">
      <c r="C61" s="90"/>
      <c r="D61" s="91"/>
      <c r="E61" s="92">
        <v>997.5</v>
      </c>
      <c r="F61" s="93" t="s">
        <v>36</v>
      </c>
      <c r="G61" s="87"/>
    </row>
    <row r="62" spans="3:7" ht="12.75" hidden="1">
      <c r="C62" s="90"/>
      <c r="D62" s="91"/>
      <c r="E62" s="92">
        <v>891.515625</v>
      </c>
      <c r="F62" s="93" t="s">
        <v>37</v>
      </c>
      <c r="G62" s="87"/>
    </row>
    <row r="63" spans="3:7" ht="12.75" hidden="1">
      <c r="C63" s="90"/>
      <c r="D63" s="91"/>
      <c r="E63" s="92">
        <v>872.8125</v>
      </c>
      <c r="F63" s="93" t="s">
        <v>38</v>
      </c>
      <c r="G63" s="87"/>
    </row>
    <row r="64" spans="3:7" ht="12.75" hidden="1">
      <c r="C64" s="90"/>
      <c r="D64" s="91"/>
      <c r="E64" s="92">
        <v>282.03125</v>
      </c>
      <c r="F64" s="93" t="s">
        <v>39</v>
      </c>
      <c r="G64" s="87"/>
    </row>
    <row r="65" spans="3:7" ht="12.75" hidden="1">
      <c r="C65" s="90"/>
      <c r="D65" s="91"/>
      <c r="E65" s="92">
        <v>635.90625</v>
      </c>
      <c r="F65" s="93" t="s">
        <v>40</v>
      </c>
      <c r="G65" s="87"/>
    </row>
    <row r="66" spans="3:7" ht="12.75" hidden="1">
      <c r="C66" s="90"/>
      <c r="D66" s="91"/>
      <c r="E66" s="92">
        <v>240.46875</v>
      </c>
      <c r="F66" s="93" t="s">
        <v>41</v>
      </c>
      <c r="G66" s="87"/>
    </row>
    <row r="67" spans="3:7" ht="12.75" hidden="1">
      <c r="C67" s="94"/>
      <c r="D67" s="95"/>
      <c r="E67" s="96">
        <v>258.28125</v>
      </c>
      <c r="F67" s="97" t="s">
        <v>42</v>
      </c>
      <c r="G67" s="87"/>
    </row>
    <row r="68" spans="1:7" ht="12.75" hidden="1">
      <c r="A68" s="28"/>
      <c r="B68" s="28"/>
      <c r="C68" s="98" t="s">
        <v>109</v>
      </c>
      <c r="D68" s="99" t="s">
        <v>110</v>
      </c>
      <c r="E68" s="100" t="s">
        <v>33</v>
      </c>
      <c r="F68" s="101"/>
      <c r="G68" s="71"/>
    </row>
    <row r="69" spans="1:7" ht="25.5" hidden="1">
      <c r="A69" s="98" t="s">
        <v>111</v>
      </c>
      <c r="B69" s="98" t="s">
        <v>112</v>
      </c>
      <c r="C69" s="98" t="s">
        <v>113</v>
      </c>
      <c r="D69" s="99" t="s">
        <v>114</v>
      </c>
      <c r="E69" s="100"/>
      <c r="F69" s="102"/>
      <c r="G69" s="71"/>
    </row>
    <row r="70" spans="1:7" ht="12.75" hidden="1">
      <c r="A70" s="103">
        <v>70</v>
      </c>
      <c r="B70" s="104">
        <v>0.3052</v>
      </c>
      <c r="C70" s="105">
        <v>73</v>
      </c>
      <c r="D70" s="106">
        <f>+K7</f>
        <v>0</v>
      </c>
      <c r="E70" s="107" t="e">
        <f aca="true" t="shared" si="0" ref="E70:E77">+(A70*B70*C70*1000/D70)*0.475</f>
        <v>#DIV/0!</v>
      </c>
      <c r="F70" s="108" t="s">
        <v>35</v>
      </c>
      <c r="G70" s="1" t="s">
        <v>115</v>
      </c>
    </row>
    <row r="71" spans="1:7" ht="12.75" hidden="1">
      <c r="A71" s="105">
        <f aca="true" t="shared" si="1" ref="A71:A77">+A70</f>
        <v>70</v>
      </c>
      <c r="B71" s="104">
        <v>0.3052</v>
      </c>
      <c r="C71" s="105">
        <v>66</v>
      </c>
      <c r="D71" s="106">
        <f>+K7</f>
        <v>0</v>
      </c>
      <c r="E71" s="107" t="e">
        <f t="shared" si="0"/>
        <v>#DIV/0!</v>
      </c>
      <c r="F71" s="108" t="s">
        <v>36</v>
      </c>
      <c r="G71" s="1" t="s">
        <v>116</v>
      </c>
    </row>
    <row r="72" spans="1:7" ht="12.75" hidden="1">
      <c r="A72" s="105">
        <f t="shared" si="1"/>
        <v>70</v>
      </c>
      <c r="B72" s="104">
        <v>0.3052</v>
      </c>
      <c r="C72" s="105">
        <v>66</v>
      </c>
      <c r="D72" s="106">
        <f>+K7</f>
        <v>0</v>
      </c>
      <c r="E72" s="107" t="e">
        <f t="shared" si="0"/>
        <v>#DIV/0!</v>
      </c>
      <c r="F72" s="108" t="s">
        <v>37</v>
      </c>
      <c r="G72" s="1" t="s">
        <v>116</v>
      </c>
    </row>
    <row r="73" spans="1:7" ht="12.75" hidden="1">
      <c r="A73" s="105">
        <f t="shared" si="1"/>
        <v>70</v>
      </c>
      <c r="B73" s="104">
        <v>0.3052</v>
      </c>
      <c r="C73" s="105">
        <v>71</v>
      </c>
      <c r="D73" s="106">
        <f>+K7</f>
        <v>0</v>
      </c>
      <c r="E73" s="107" t="e">
        <f t="shared" si="0"/>
        <v>#DIV/0!</v>
      </c>
      <c r="F73" s="108" t="s">
        <v>38</v>
      </c>
      <c r="G73" s="1" t="s">
        <v>117</v>
      </c>
    </row>
    <row r="74" spans="1:7" ht="12.75" hidden="1">
      <c r="A74" s="105">
        <f t="shared" si="1"/>
        <v>70</v>
      </c>
      <c r="B74" s="104">
        <v>0.3052</v>
      </c>
      <c r="C74" s="105">
        <v>57</v>
      </c>
      <c r="D74" s="106">
        <f>+K7</f>
        <v>0</v>
      </c>
      <c r="E74" s="107" t="e">
        <f t="shared" si="0"/>
        <v>#DIV/0!</v>
      </c>
      <c r="F74" s="108" t="s">
        <v>39</v>
      </c>
      <c r="G74" s="1" t="s">
        <v>118</v>
      </c>
    </row>
    <row r="75" spans="1:7" ht="12.75" hidden="1">
      <c r="A75" s="105">
        <f t="shared" si="1"/>
        <v>70</v>
      </c>
      <c r="B75" s="104">
        <v>0.3052</v>
      </c>
      <c r="C75" s="105">
        <v>57</v>
      </c>
      <c r="D75" s="106">
        <f>+K7</f>
        <v>0</v>
      </c>
      <c r="E75" s="107" t="e">
        <f t="shared" si="0"/>
        <v>#DIV/0!</v>
      </c>
      <c r="F75" s="108" t="s">
        <v>40</v>
      </c>
      <c r="G75" s="1" t="s">
        <v>119</v>
      </c>
    </row>
    <row r="76" spans="1:7" ht="12.75" hidden="1">
      <c r="A76" s="105">
        <f t="shared" si="1"/>
        <v>70</v>
      </c>
      <c r="B76" s="104">
        <v>0.3052</v>
      </c>
      <c r="C76" s="105">
        <v>57</v>
      </c>
      <c r="D76" s="106">
        <f>+K7</f>
        <v>0</v>
      </c>
      <c r="E76" s="107" t="e">
        <f t="shared" si="0"/>
        <v>#DIV/0!</v>
      </c>
      <c r="F76" s="108" t="s">
        <v>41</v>
      </c>
      <c r="G76" s="1" t="s">
        <v>120</v>
      </c>
    </row>
    <row r="77" spans="1:7" ht="12.75" hidden="1">
      <c r="A77" s="109">
        <f t="shared" si="1"/>
        <v>70</v>
      </c>
      <c r="B77" s="110">
        <v>0.3052</v>
      </c>
      <c r="C77" s="109">
        <v>57</v>
      </c>
      <c r="D77" s="111">
        <f>+K7</f>
        <v>0</v>
      </c>
      <c r="E77" s="112" t="e">
        <f t="shared" si="0"/>
        <v>#DIV/0!</v>
      </c>
      <c r="F77" s="113" t="s">
        <v>42</v>
      </c>
      <c r="G77" s="1" t="s">
        <v>120</v>
      </c>
    </row>
  </sheetData>
  <sheetProtection password="AEBA" sheet="1"/>
  <mergeCells count="11">
    <mergeCell ref="N4:R4"/>
    <mergeCell ref="N7:R7"/>
    <mergeCell ref="C9:F9"/>
    <mergeCell ref="H11:M11"/>
    <mergeCell ref="H20:M20"/>
    <mergeCell ref="H21:M21"/>
    <mergeCell ref="H22:M22"/>
    <mergeCell ref="K2:M2"/>
    <mergeCell ref="L13:L14"/>
    <mergeCell ref="H17:L17"/>
    <mergeCell ref="H19:M19"/>
  </mergeCells>
  <printOptions/>
  <pageMargins left="0.7875" right="0.7875" top="1.025" bottom="1.025" header="0.7875" footer="0.7875"/>
  <pageSetup horizontalDpi="300" verticalDpi="300" orientation="portrait" paperSize="9" r:id="rId2"/>
  <headerFooter alignWithMargins="0">
    <oddHeader>&amp;C&amp;A</oddHeader>
    <oddFooter>&amp;CPagina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67"/>
  <sheetViews>
    <sheetView zoomScale="80" zoomScaleNormal="80" zoomScalePageLayoutView="0" workbookViewId="0" topLeftCell="B14">
      <selection activeCell="J6" sqref="J6"/>
    </sheetView>
  </sheetViews>
  <sheetFormatPr defaultColWidth="34.7109375" defaultRowHeight="12.75"/>
  <cols>
    <col min="1" max="6" width="18.421875" style="1" customWidth="1"/>
    <col min="7" max="8" width="10.140625" style="1" customWidth="1"/>
    <col min="9" max="9" width="8.7109375" style="28" customWidth="1"/>
    <col min="10" max="10" width="12.28125" style="1" customWidth="1"/>
    <col min="11" max="11" width="14.7109375" style="1" customWidth="1"/>
    <col min="12" max="12" width="15.8515625" style="1" customWidth="1"/>
    <col min="13" max="13" width="25.8515625" style="1" customWidth="1"/>
    <col min="14" max="16" width="10.140625" style="1" customWidth="1"/>
    <col min="17" max="17" width="22.140625" style="1" customWidth="1"/>
    <col min="18" max="18" width="22.7109375" style="1" customWidth="1"/>
    <col min="19" max="21" width="23.7109375" style="1" customWidth="1"/>
    <col min="22" max="23" width="20.421875" style="1" customWidth="1"/>
    <col min="24" max="24" width="25.57421875" style="1" customWidth="1"/>
    <col min="25" max="16384" width="34.7109375" style="1" customWidth="1"/>
  </cols>
  <sheetData>
    <row r="1" s="28" customFormat="1" ht="18">
      <c r="G1" s="73"/>
    </row>
    <row r="2" spans="6:18" ht="93.75" customHeight="1">
      <c r="F2" s="28"/>
      <c r="G2" s="73"/>
      <c r="H2" s="28"/>
      <c r="J2" s="617" t="s">
        <v>121</v>
      </c>
      <c r="K2" s="617"/>
      <c r="L2" s="617"/>
      <c r="M2" s="617"/>
      <c r="N2" s="617"/>
      <c r="O2" s="617"/>
      <c r="P2" s="617"/>
      <c r="Q2" s="617"/>
      <c r="R2" s="617"/>
    </row>
    <row r="4" spans="7:24" ht="50.25" customHeight="1">
      <c r="G4" s="231" t="s">
        <v>75</v>
      </c>
      <c r="H4" s="231" t="s">
        <v>76</v>
      </c>
      <c r="I4" s="294"/>
      <c r="J4" s="231" t="s">
        <v>77</v>
      </c>
      <c r="K4" s="231" t="s">
        <v>33</v>
      </c>
      <c r="L4" s="618" t="s">
        <v>78</v>
      </c>
      <c r="M4" s="618"/>
      <c r="N4" s="618"/>
      <c r="O4" s="618"/>
      <c r="P4" s="618"/>
      <c r="Q4" s="304" t="s">
        <v>264</v>
      </c>
      <c r="R4" s="304" t="s">
        <v>265</v>
      </c>
      <c r="S4" s="619" t="s">
        <v>80</v>
      </c>
      <c r="T4" s="619"/>
      <c r="U4" s="619"/>
      <c r="V4" s="619"/>
      <c r="W4" s="619"/>
      <c r="X4" s="212"/>
    </row>
    <row r="5" spans="7:24" ht="338.25" customHeight="1">
      <c r="G5" s="295" t="s">
        <v>81</v>
      </c>
      <c r="H5" s="295" t="s">
        <v>82</v>
      </c>
      <c r="I5" s="296"/>
      <c r="J5" s="332" t="s">
        <v>122</v>
      </c>
      <c r="K5" s="332" t="s">
        <v>92</v>
      </c>
      <c r="L5" s="295" t="s">
        <v>93</v>
      </c>
      <c r="M5" s="297" t="s">
        <v>94</v>
      </c>
      <c r="N5" s="297" t="s">
        <v>95</v>
      </c>
      <c r="O5" s="297" t="s">
        <v>96</v>
      </c>
      <c r="P5" s="298" t="s">
        <v>97</v>
      </c>
      <c r="Q5" s="252" t="s">
        <v>123</v>
      </c>
      <c r="R5" s="252" t="s">
        <v>106</v>
      </c>
      <c r="S5" s="250" t="s">
        <v>165</v>
      </c>
      <c r="T5" s="251" t="s">
        <v>166</v>
      </c>
      <c r="U5" s="251" t="s">
        <v>147</v>
      </c>
      <c r="V5" s="251" t="s">
        <v>146</v>
      </c>
      <c r="W5" s="365" t="s">
        <v>266</v>
      </c>
      <c r="X5" s="253" t="s">
        <v>87</v>
      </c>
    </row>
    <row r="6" spans="7:24" ht="27.75" customHeight="1" thickBot="1">
      <c r="G6" s="233" t="s">
        <v>88</v>
      </c>
      <c r="H6" s="233" t="s">
        <v>88</v>
      </c>
      <c r="I6" s="333"/>
      <c r="J6" s="242" t="s">
        <v>88</v>
      </c>
      <c r="K6" s="242" t="s">
        <v>89</v>
      </c>
      <c r="L6" s="75">
        <v>0</v>
      </c>
      <c r="M6" s="76">
        <v>0</v>
      </c>
      <c r="N6" s="76">
        <v>0</v>
      </c>
      <c r="O6" s="76">
        <v>1</v>
      </c>
      <c r="P6" s="77">
        <v>0</v>
      </c>
      <c r="Q6" s="63" t="s">
        <v>7</v>
      </c>
      <c r="R6" s="83"/>
      <c r="S6" s="63"/>
      <c r="T6" s="63"/>
      <c r="U6" s="63"/>
      <c r="V6" s="63"/>
      <c r="W6" s="63"/>
      <c r="X6" s="334"/>
    </row>
    <row r="7" spans="7:24" ht="30.75" customHeight="1" hidden="1">
      <c r="G7" s="28"/>
      <c r="J7" s="65"/>
      <c r="K7" s="66"/>
      <c r="L7" s="67">
        <f>+L6*5/100</f>
        <v>0</v>
      </c>
      <c r="M7" s="78">
        <f>+M6*20/100</f>
        <v>0</v>
      </c>
      <c r="N7" s="78">
        <f>+N6*10/100</f>
        <v>0</v>
      </c>
      <c r="O7" s="78">
        <f>+O6*5/100</f>
        <v>0.05</v>
      </c>
      <c r="P7" s="79">
        <f>+P6*10/100</f>
        <v>0</v>
      </c>
      <c r="R7" s="114">
        <v>0.1</v>
      </c>
      <c r="S7" s="68"/>
      <c r="T7" s="142"/>
      <c r="U7" s="142"/>
      <c r="X7" s="212"/>
    </row>
    <row r="8" spans="7:24" ht="16.5" thickBot="1">
      <c r="G8" s="86">
        <v>0</v>
      </c>
      <c r="H8" s="86">
        <v>0</v>
      </c>
      <c r="I8" s="85"/>
      <c r="J8" s="306">
        <f>+H8+(G8*0.6)</f>
        <v>0</v>
      </c>
      <c r="K8" s="86">
        <v>0</v>
      </c>
      <c r="L8" s="633">
        <f>(+L7+M7+N7+O7+P7)*2</f>
        <v>0.1</v>
      </c>
      <c r="M8" s="633"/>
      <c r="N8" s="633"/>
      <c r="O8" s="633"/>
      <c r="P8" s="633"/>
      <c r="Q8" s="335" t="str">
        <f>IF(Q6="","1",IF(Q6="x","0,50"))</f>
        <v>0,50</v>
      </c>
      <c r="R8" s="336">
        <v>0.1</v>
      </c>
      <c r="S8" s="634" t="b">
        <f>IF(S6="x","35",IF(T6="x","40",IF(U6="x","35",IF(V6="x","35",IF(W6="x","0")))))</f>
        <v>0</v>
      </c>
      <c r="T8" s="634"/>
      <c r="U8" s="634"/>
      <c r="V8" s="634"/>
      <c r="W8" s="634"/>
      <c r="X8" s="254">
        <f>+J8*K8*L8*Q8*R8*(100-S8)/100</f>
        <v>0</v>
      </c>
    </row>
    <row r="11" ht="13.5" thickBot="1"/>
    <row r="12" spans="3:13" ht="31.5" customHeight="1">
      <c r="C12" s="625" t="s">
        <v>30</v>
      </c>
      <c r="D12" s="625"/>
      <c r="E12" s="625"/>
      <c r="F12" s="625"/>
      <c r="H12" s="626" t="s">
        <v>335</v>
      </c>
      <c r="I12" s="627"/>
      <c r="J12" s="627"/>
      <c r="K12" s="627"/>
      <c r="L12" s="627"/>
      <c r="M12" s="628"/>
    </row>
    <row r="13" spans="3:13" ht="22.5" customHeight="1" thickBot="1">
      <c r="C13" s="635"/>
      <c r="D13" s="635"/>
      <c r="E13" s="635"/>
      <c r="F13" s="635"/>
      <c r="H13" s="529"/>
      <c r="I13" s="255"/>
      <c r="J13" s="392"/>
      <c r="K13" s="392"/>
      <c r="L13" s="392"/>
      <c r="M13" s="530"/>
    </row>
    <row r="14" spans="3:13" ht="49.5" customHeight="1" thickBot="1">
      <c r="C14" s="308" t="s">
        <v>99</v>
      </c>
      <c r="D14" s="308" t="s">
        <v>100</v>
      </c>
      <c r="E14" s="308" t="s">
        <v>33</v>
      </c>
      <c r="F14" s="309" t="s">
        <v>204</v>
      </c>
      <c r="H14" s="524"/>
      <c r="I14" s="255"/>
      <c r="J14" s="368" t="s">
        <v>336</v>
      </c>
      <c r="K14" s="368" t="s">
        <v>293</v>
      </c>
      <c r="L14" s="629" t="s">
        <v>294</v>
      </c>
      <c r="M14" s="530"/>
    </row>
    <row r="15" spans="3:13" ht="42.75" customHeight="1" thickBot="1">
      <c r="C15" s="310"/>
      <c r="D15" s="337"/>
      <c r="E15" s="312">
        <v>3191.41</v>
      </c>
      <c r="F15" s="313" t="s">
        <v>205</v>
      </c>
      <c r="H15" s="525" t="s">
        <v>338</v>
      </c>
      <c r="I15" s="521" t="s">
        <v>112</v>
      </c>
      <c r="J15" s="521" t="s">
        <v>113</v>
      </c>
      <c r="K15" s="521" t="s">
        <v>77</v>
      </c>
      <c r="L15" s="630"/>
      <c r="M15" s="530"/>
    </row>
    <row r="16" spans="3:13" ht="32.25" customHeight="1" thickBot="1">
      <c r="C16" s="314"/>
      <c r="D16" s="338"/>
      <c r="E16" s="315">
        <v>2167.19</v>
      </c>
      <c r="F16" s="316" t="s">
        <v>35</v>
      </c>
      <c r="H16" s="526">
        <v>0</v>
      </c>
      <c r="I16" s="527">
        <v>0.273</v>
      </c>
      <c r="J16" s="528">
        <v>55</v>
      </c>
      <c r="K16" s="522">
        <v>0</v>
      </c>
      <c r="L16" s="523" t="e">
        <f>+(H16*I16*J16*1000/K16)*0.475</f>
        <v>#DIV/0!</v>
      </c>
      <c r="M16" s="530"/>
    </row>
    <row r="17" spans="3:13" ht="16.5" customHeight="1">
      <c r="C17" s="314"/>
      <c r="D17" s="338"/>
      <c r="E17" s="315">
        <v>1662.5</v>
      </c>
      <c r="F17" s="316" t="s">
        <v>37</v>
      </c>
      <c r="H17" s="529"/>
      <c r="I17" s="255"/>
      <c r="J17" s="392"/>
      <c r="K17" s="392"/>
      <c r="L17" s="392"/>
      <c r="M17" s="530"/>
    </row>
    <row r="18" spans="3:13" ht="27" customHeight="1" thickBot="1">
      <c r="C18" s="314"/>
      <c r="D18" s="338"/>
      <c r="E18" s="315">
        <v>2315.63</v>
      </c>
      <c r="F18" s="316" t="s">
        <v>206</v>
      </c>
      <c r="H18" s="631" t="s">
        <v>337</v>
      </c>
      <c r="I18" s="632"/>
      <c r="J18" s="632"/>
      <c r="K18" s="632"/>
      <c r="L18" s="632"/>
      <c r="M18" s="531"/>
    </row>
    <row r="19" spans="3:6" ht="15.75" customHeight="1">
      <c r="C19" s="314"/>
      <c r="D19" s="338"/>
      <c r="E19" s="315">
        <v>1528.91</v>
      </c>
      <c r="F19" s="316" t="s">
        <v>207</v>
      </c>
    </row>
    <row r="20" spans="3:13" ht="20.25" customHeight="1">
      <c r="C20" s="314"/>
      <c r="D20" s="338"/>
      <c r="E20" s="315">
        <v>2226.56</v>
      </c>
      <c r="F20" s="316" t="s">
        <v>208</v>
      </c>
      <c r="H20" s="622" t="s">
        <v>343</v>
      </c>
      <c r="I20" s="622"/>
      <c r="J20" s="622"/>
      <c r="K20" s="622"/>
      <c r="L20" s="622"/>
      <c r="M20" s="622"/>
    </row>
    <row r="21" spans="3:13" ht="21.75" customHeight="1">
      <c r="C21" s="314"/>
      <c r="D21" s="338"/>
      <c r="E21" s="315">
        <v>1885.16</v>
      </c>
      <c r="F21" s="316" t="s">
        <v>209</v>
      </c>
      <c r="H21" s="622" t="s">
        <v>344</v>
      </c>
      <c r="I21" s="622"/>
      <c r="J21" s="622"/>
      <c r="K21" s="622"/>
      <c r="L21" s="622"/>
      <c r="M21" s="622"/>
    </row>
    <row r="22" spans="3:13" ht="22.5" customHeight="1">
      <c r="C22" s="314"/>
      <c r="D22" s="338"/>
      <c r="E22" s="315">
        <v>1499.22</v>
      </c>
      <c r="F22" s="316" t="s">
        <v>210</v>
      </c>
      <c r="H22" s="622" t="s">
        <v>345</v>
      </c>
      <c r="I22" s="622"/>
      <c r="J22" s="622"/>
      <c r="K22" s="622"/>
      <c r="L22" s="622"/>
      <c r="M22" s="622"/>
    </row>
    <row r="23" spans="3:13" ht="20.25" customHeight="1">
      <c r="C23" s="314"/>
      <c r="D23" s="338"/>
      <c r="E23" s="315">
        <v>1232.03</v>
      </c>
      <c r="F23" s="316" t="s">
        <v>38</v>
      </c>
      <c r="H23" s="622" t="s">
        <v>346</v>
      </c>
      <c r="I23" s="622"/>
      <c r="J23" s="622"/>
      <c r="K23" s="622"/>
      <c r="L23" s="622"/>
      <c r="M23" s="622"/>
    </row>
    <row r="24" spans="3:6" ht="15.75" customHeight="1">
      <c r="C24" s="314"/>
      <c r="D24" s="338"/>
      <c r="E24" s="315">
        <v>1380.47</v>
      </c>
      <c r="F24" s="316" t="s">
        <v>39</v>
      </c>
    </row>
    <row r="25" spans="3:6" ht="15.75" customHeight="1">
      <c r="C25" s="314"/>
      <c r="D25" s="338"/>
      <c r="E25" s="315">
        <v>0</v>
      </c>
      <c r="F25" s="316" t="s">
        <v>40</v>
      </c>
    </row>
    <row r="26" spans="3:6" ht="15.75" customHeight="1">
      <c r="C26" s="314"/>
      <c r="D26" s="338"/>
      <c r="E26" s="315">
        <v>1261.72</v>
      </c>
      <c r="F26" s="316" t="s">
        <v>211</v>
      </c>
    </row>
    <row r="27" spans="3:6" ht="15.75" customHeight="1">
      <c r="C27" s="314"/>
      <c r="D27" s="338"/>
      <c r="E27" s="315">
        <v>1261.72</v>
      </c>
      <c r="F27" s="316" t="s">
        <v>212</v>
      </c>
    </row>
    <row r="28" spans="3:6" ht="15.75" customHeight="1">
      <c r="C28" s="314"/>
      <c r="D28" s="338"/>
      <c r="E28" s="315">
        <v>0</v>
      </c>
      <c r="F28" s="316" t="s">
        <v>213</v>
      </c>
    </row>
    <row r="29" spans="3:6" ht="15.75" customHeight="1">
      <c r="C29" s="314"/>
      <c r="D29" s="338"/>
      <c r="E29" s="315">
        <v>1321.09</v>
      </c>
      <c r="F29" s="316" t="s">
        <v>214</v>
      </c>
    </row>
    <row r="30" spans="3:6" ht="15.75" customHeight="1">
      <c r="C30" s="314"/>
      <c r="D30" s="338"/>
      <c r="E30" s="315">
        <v>1261.72</v>
      </c>
      <c r="F30" s="316" t="s">
        <v>215</v>
      </c>
    </row>
    <row r="31" spans="3:6" ht="15.75" customHeight="1">
      <c r="C31" s="314"/>
      <c r="D31" s="338"/>
      <c r="E31" s="315">
        <v>1410.16</v>
      </c>
      <c r="F31" s="316" t="s">
        <v>216</v>
      </c>
    </row>
    <row r="32" spans="3:6" ht="15.75" customHeight="1">
      <c r="C32" s="314"/>
      <c r="D32" s="338"/>
      <c r="E32" s="315">
        <v>1959.38</v>
      </c>
      <c r="F32" s="316" t="s">
        <v>217</v>
      </c>
    </row>
    <row r="33" spans="3:6" ht="15.75" customHeight="1">
      <c r="C33" s="314"/>
      <c r="D33" s="338"/>
      <c r="E33" s="315">
        <v>1350.78</v>
      </c>
      <c r="F33" s="316" t="s">
        <v>218</v>
      </c>
    </row>
    <row r="34" spans="3:6" ht="15.75" customHeight="1">
      <c r="C34" s="314"/>
      <c r="D34" s="338"/>
      <c r="E34" s="315">
        <v>1083.59</v>
      </c>
      <c r="F34" s="316" t="s">
        <v>219</v>
      </c>
    </row>
    <row r="35" spans="3:6" ht="15.75" customHeight="1">
      <c r="C35" s="314"/>
      <c r="D35" s="338"/>
      <c r="E35" s="315">
        <v>1128.13</v>
      </c>
      <c r="F35" s="316" t="s">
        <v>42</v>
      </c>
    </row>
    <row r="36" spans="3:6" ht="15.75" customHeight="1">
      <c r="C36" s="314"/>
      <c r="D36" s="338"/>
      <c r="E36" s="315">
        <v>1157.81</v>
      </c>
      <c r="F36" s="316" t="s">
        <v>220</v>
      </c>
    </row>
    <row r="37" spans="3:6" ht="15.75" customHeight="1" thickBot="1">
      <c r="C37" s="317"/>
      <c r="D37" s="339"/>
      <c r="E37" s="340">
        <v>1083.59</v>
      </c>
      <c r="F37" s="341" t="s">
        <v>221</v>
      </c>
    </row>
    <row r="38" spans="3:6" ht="12.75">
      <c r="C38" s="342"/>
      <c r="D38" s="342"/>
      <c r="E38" s="343"/>
      <c r="F38" s="344"/>
    </row>
    <row r="39" spans="3:6" ht="13.5" thickBot="1">
      <c r="C39" s="342"/>
      <c r="D39" s="342"/>
      <c r="E39" s="345"/>
      <c r="F39" s="346"/>
    </row>
    <row r="40" spans="3:6" ht="26.25" thickBot="1">
      <c r="C40" s="320" t="s">
        <v>101</v>
      </c>
      <c r="D40" s="321" t="s">
        <v>108</v>
      </c>
      <c r="E40" s="320" t="s">
        <v>33</v>
      </c>
      <c r="F40" s="320" t="s">
        <v>204</v>
      </c>
    </row>
    <row r="41" spans="3:6" ht="15.75" customHeight="1">
      <c r="C41" s="322"/>
      <c r="D41" s="323"/>
      <c r="E41" s="324">
        <v>1617.97</v>
      </c>
      <c r="F41" s="325" t="s">
        <v>205</v>
      </c>
    </row>
    <row r="42" spans="3:6" ht="15.75" customHeight="1">
      <c r="C42" s="322"/>
      <c r="D42" s="323"/>
      <c r="E42" s="326">
        <v>1617.97</v>
      </c>
      <c r="F42" s="327" t="s">
        <v>35</v>
      </c>
    </row>
    <row r="43" spans="3:6" ht="15.75" customHeight="1">
      <c r="C43" s="322"/>
      <c r="D43" s="323"/>
      <c r="E43" s="326">
        <v>1499.22</v>
      </c>
      <c r="F43" s="327" t="s">
        <v>37</v>
      </c>
    </row>
    <row r="44" spans="3:6" ht="15.75" customHeight="1">
      <c r="C44" s="322"/>
      <c r="D44" s="323"/>
      <c r="E44" s="326">
        <v>1796.09</v>
      </c>
      <c r="F44" s="327" t="s">
        <v>206</v>
      </c>
    </row>
    <row r="45" spans="3:6" ht="15.75" customHeight="1">
      <c r="C45" s="322"/>
      <c r="D45" s="323"/>
      <c r="E45" s="326">
        <v>1410.16</v>
      </c>
      <c r="F45" s="327" t="s">
        <v>207</v>
      </c>
    </row>
    <row r="46" spans="3:6" ht="15.75" customHeight="1">
      <c r="C46" s="322"/>
      <c r="D46" s="323"/>
      <c r="E46" s="326">
        <v>1499.22</v>
      </c>
      <c r="F46" s="327" t="s">
        <v>208</v>
      </c>
    </row>
    <row r="47" spans="3:6" ht="15.75" customHeight="1">
      <c r="C47" s="322"/>
      <c r="D47" s="323"/>
      <c r="E47" s="326">
        <v>1410.16</v>
      </c>
      <c r="F47" s="327" t="s">
        <v>209</v>
      </c>
    </row>
    <row r="48" spans="3:6" ht="15.75" customHeight="1">
      <c r="C48" s="322"/>
      <c r="D48" s="323"/>
      <c r="E48" s="326">
        <v>1365.63</v>
      </c>
      <c r="F48" s="327" t="s">
        <v>210</v>
      </c>
    </row>
    <row r="49" spans="3:6" ht="15.75" customHeight="1">
      <c r="C49" s="322"/>
      <c r="D49" s="323"/>
      <c r="E49" s="326">
        <v>1202.34</v>
      </c>
      <c r="F49" s="327" t="s">
        <v>38</v>
      </c>
    </row>
    <row r="50" spans="3:6" ht="15.75" customHeight="1">
      <c r="C50" s="322"/>
      <c r="D50" s="323"/>
      <c r="E50" s="326">
        <v>1350.78</v>
      </c>
      <c r="F50" s="327" t="s">
        <v>39</v>
      </c>
    </row>
    <row r="51" spans="3:6" ht="15.75" customHeight="1">
      <c r="C51" s="322"/>
      <c r="D51" s="323"/>
      <c r="E51" s="326">
        <v>0</v>
      </c>
      <c r="F51" s="327" t="s">
        <v>40</v>
      </c>
    </row>
    <row r="52" spans="3:6" ht="15.75" customHeight="1">
      <c r="C52" s="322"/>
      <c r="D52" s="323"/>
      <c r="E52" s="326">
        <v>1202.34</v>
      </c>
      <c r="F52" s="327" t="s">
        <v>211</v>
      </c>
    </row>
    <row r="53" spans="3:6" ht="15.75" customHeight="1">
      <c r="C53" s="322"/>
      <c r="D53" s="323"/>
      <c r="E53" s="326">
        <v>1142.97</v>
      </c>
      <c r="F53" s="327" t="s">
        <v>212</v>
      </c>
    </row>
    <row r="54" spans="3:6" ht="15.75" customHeight="1">
      <c r="C54" s="322"/>
      <c r="D54" s="323"/>
      <c r="E54" s="326">
        <v>0</v>
      </c>
      <c r="F54" s="327" t="s">
        <v>213</v>
      </c>
    </row>
    <row r="55" spans="3:6" ht="15.75" customHeight="1">
      <c r="C55" s="322"/>
      <c r="D55" s="323"/>
      <c r="E55" s="326">
        <v>1232.03</v>
      </c>
      <c r="F55" s="327" t="s">
        <v>214</v>
      </c>
    </row>
    <row r="56" spans="3:6" ht="15.75" customHeight="1">
      <c r="C56" s="322"/>
      <c r="D56" s="323"/>
      <c r="E56" s="326">
        <v>1261.72</v>
      </c>
      <c r="F56" s="327" t="s">
        <v>215</v>
      </c>
    </row>
    <row r="57" spans="3:6" ht="15.75" customHeight="1">
      <c r="C57" s="322"/>
      <c r="D57" s="323"/>
      <c r="E57" s="326">
        <v>1261.72</v>
      </c>
      <c r="F57" s="327" t="s">
        <v>216</v>
      </c>
    </row>
    <row r="58" spans="3:6" ht="15.75" customHeight="1">
      <c r="C58" s="322"/>
      <c r="D58" s="323"/>
      <c r="E58" s="326">
        <v>1350.78</v>
      </c>
      <c r="F58" s="327" t="s">
        <v>217</v>
      </c>
    </row>
    <row r="59" spans="3:6" ht="15.75" customHeight="1">
      <c r="C59" s="322"/>
      <c r="D59" s="323"/>
      <c r="E59" s="326">
        <v>1380.47</v>
      </c>
      <c r="F59" s="327" t="s">
        <v>218</v>
      </c>
    </row>
    <row r="60" spans="3:6" ht="15.75" customHeight="1">
      <c r="C60" s="322"/>
      <c r="D60" s="323"/>
      <c r="E60" s="326">
        <v>0</v>
      </c>
      <c r="F60" s="327" t="s">
        <v>219</v>
      </c>
    </row>
    <row r="61" spans="3:6" ht="15.75" customHeight="1">
      <c r="C61" s="322"/>
      <c r="D61" s="323"/>
      <c r="E61" s="326">
        <v>0</v>
      </c>
      <c r="F61" s="327" t="s">
        <v>42</v>
      </c>
    </row>
    <row r="62" spans="3:6" ht="15.75" customHeight="1">
      <c r="C62" s="322"/>
      <c r="D62" s="323"/>
      <c r="E62" s="326">
        <v>0</v>
      </c>
      <c r="F62" s="327" t="s">
        <v>220</v>
      </c>
    </row>
    <row r="63" spans="3:6" ht="15.75" customHeight="1" thickBot="1">
      <c r="C63" s="328"/>
      <c r="D63" s="329"/>
      <c r="E63" s="330">
        <v>0</v>
      </c>
      <c r="F63" s="331" t="s">
        <v>221</v>
      </c>
    </row>
    <row r="64" ht="13.5" thickBot="1"/>
    <row r="65" spans="1:7" ht="28.5" customHeight="1" thickBot="1">
      <c r="A65" s="234"/>
      <c r="B65" s="234"/>
      <c r="C65" s="348" t="s">
        <v>109</v>
      </c>
      <c r="D65" s="349" t="s">
        <v>110</v>
      </c>
      <c r="E65" s="350" t="s">
        <v>33</v>
      </c>
      <c r="F65" s="351"/>
      <c r="G65" s="71"/>
    </row>
    <row r="66" spans="1:7" ht="26.25" thickBot="1">
      <c r="A66" s="348" t="s">
        <v>111</v>
      </c>
      <c r="B66" s="348" t="s">
        <v>112</v>
      </c>
      <c r="C66" s="348" t="s">
        <v>113</v>
      </c>
      <c r="D66" s="348" t="s">
        <v>77</v>
      </c>
      <c r="E66" s="350"/>
      <c r="F66" s="352"/>
      <c r="G66" s="71"/>
    </row>
    <row r="67" spans="1:7" ht="28.5" customHeight="1" thickBot="1">
      <c r="A67" s="347">
        <v>24</v>
      </c>
      <c r="B67" s="353">
        <v>0.273</v>
      </c>
      <c r="C67" s="354">
        <v>55</v>
      </c>
      <c r="D67" s="355">
        <v>1200</v>
      </c>
      <c r="E67" s="356">
        <f>+(A67*B67*C67*1000/D67)*0.475</f>
        <v>142.6425</v>
      </c>
      <c r="F67" s="113"/>
      <c r="G67" s="1" t="s">
        <v>223</v>
      </c>
    </row>
  </sheetData>
  <sheetProtection password="AEBA" sheet="1"/>
  <mergeCells count="13">
    <mergeCell ref="S4:W4"/>
    <mergeCell ref="L8:P8"/>
    <mergeCell ref="S8:W8"/>
    <mergeCell ref="C12:F13"/>
    <mergeCell ref="H12:M12"/>
    <mergeCell ref="L14:L15"/>
    <mergeCell ref="H18:L18"/>
    <mergeCell ref="J2:R2"/>
    <mergeCell ref="L4:P4"/>
    <mergeCell ref="H20:M20"/>
    <mergeCell ref="H21:M21"/>
    <mergeCell ref="H22:M22"/>
    <mergeCell ref="H23:M23"/>
  </mergeCells>
  <printOptions/>
  <pageMargins left="0.7875" right="0.7875" top="1.025" bottom="1.025" header="0.7875" footer="0.7875"/>
  <pageSetup horizontalDpi="300" verticalDpi="300" orientation="portrait" paperSize="9" r:id="rId2"/>
  <headerFooter alignWithMargins="0">
    <oddHeader>&amp;C&amp;A</oddHeader>
    <oddFooter>&amp;CPagina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9"/>
  <sheetViews>
    <sheetView zoomScale="60" zoomScaleNormal="60" zoomScalePageLayoutView="0" workbookViewId="0" topLeftCell="A16">
      <selection activeCell="E7" sqref="E7"/>
    </sheetView>
  </sheetViews>
  <sheetFormatPr defaultColWidth="9.140625" defaultRowHeight="12.75"/>
  <cols>
    <col min="4" max="4" width="55.421875" style="0" customWidth="1"/>
    <col min="7" max="7" width="35.57421875" style="0" customWidth="1"/>
    <col min="9" max="9" width="9.00390625" style="0" customWidth="1"/>
    <col min="10" max="10" width="6.28125" style="0" customWidth="1"/>
    <col min="11" max="11" width="20.8515625" style="0" customWidth="1"/>
    <col min="13" max="13" width="16.7109375" style="0" customWidth="1"/>
    <col min="14" max="14" width="19.00390625" style="0" customWidth="1"/>
  </cols>
  <sheetData>
    <row r="1" spans="1:11" ht="36.75" customHeight="1" thickBot="1">
      <c r="A1" s="645" t="s">
        <v>162</v>
      </c>
      <c r="B1" s="645"/>
      <c r="C1" s="645"/>
      <c r="D1" s="646"/>
      <c r="E1" s="212"/>
      <c r="F1" s="212"/>
      <c r="G1" s="212"/>
      <c r="H1" s="212"/>
      <c r="I1" s="212"/>
      <c r="J1" s="212"/>
      <c r="K1" s="212"/>
    </row>
    <row r="2" spans="1:11" ht="36" customHeight="1">
      <c r="A2" s="647" t="s">
        <v>268</v>
      </c>
      <c r="B2" s="647"/>
      <c r="C2" s="647"/>
      <c r="D2" s="647"/>
      <c r="E2" s="212"/>
      <c r="F2" s="212"/>
      <c r="G2" s="212"/>
      <c r="H2" s="212"/>
      <c r="I2" s="212"/>
      <c r="J2" s="212"/>
      <c r="K2" s="212"/>
    </row>
    <row r="3" spans="1:11" ht="12.75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</row>
    <row r="4" spans="1:11" ht="22.5" customHeight="1">
      <c r="A4" s="648" t="s">
        <v>269</v>
      </c>
      <c r="B4" s="649"/>
      <c r="C4" s="649"/>
      <c r="D4" s="389"/>
      <c r="E4" s="212"/>
      <c r="F4" s="212"/>
      <c r="G4" s="212"/>
      <c r="H4" s="212"/>
      <c r="I4" s="212"/>
      <c r="J4" s="212"/>
      <c r="K4" s="212"/>
    </row>
    <row r="5" spans="1:11" ht="45" customHeight="1">
      <c r="A5" s="640" t="s">
        <v>270</v>
      </c>
      <c r="B5" s="641"/>
      <c r="C5" s="641"/>
      <c r="D5" s="642"/>
      <c r="E5" s="212"/>
      <c r="F5" s="212"/>
      <c r="G5" s="390"/>
      <c r="H5" s="212"/>
      <c r="I5" s="212"/>
      <c r="J5" s="212"/>
      <c r="K5" s="212"/>
    </row>
    <row r="6" spans="1:11" ht="50.25" customHeight="1">
      <c r="A6" s="640" t="s">
        <v>271</v>
      </c>
      <c r="B6" s="641"/>
      <c r="C6" s="641"/>
      <c r="D6" s="642"/>
      <c r="E6" s="212"/>
      <c r="F6" s="212"/>
      <c r="G6" s="212"/>
      <c r="H6" s="212"/>
      <c r="I6" s="212"/>
      <c r="J6" s="212"/>
      <c r="K6" s="212"/>
    </row>
    <row r="7" spans="1:14" ht="20.25" customHeight="1">
      <c r="A7" s="640" t="s">
        <v>272</v>
      </c>
      <c r="B7" s="641"/>
      <c r="C7" s="641"/>
      <c r="D7" s="642"/>
      <c r="E7" s="212"/>
      <c r="F7" s="212"/>
      <c r="G7" s="212"/>
      <c r="H7" s="212"/>
      <c r="I7" s="212"/>
      <c r="J7" s="212"/>
      <c r="K7" s="212"/>
      <c r="M7" s="636" t="s">
        <v>385</v>
      </c>
      <c r="N7" s="636"/>
    </row>
    <row r="8" spans="1:11" ht="12.75">
      <c r="A8" s="391"/>
      <c r="B8" s="392"/>
      <c r="C8" s="392"/>
      <c r="D8" s="393"/>
      <c r="E8" s="212"/>
      <c r="F8" s="212"/>
      <c r="G8" s="212"/>
      <c r="H8" s="212"/>
      <c r="I8" s="212"/>
      <c r="J8" s="212"/>
      <c r="K8" s="212"/>
    </row>
    <row r="9" spans="1:14" ht="39" customHeight="1" thickBot="1">
      <c r="A9" s="640" t="s">
        <v>274</v>
      </c>
      <c r="B9" s="641"/>
      <c r="C9" s="641"/>
      <c r="D9" s="642"/>
      <c r="E9" s="212"/>
      <c r="F9" s="212"/>
      <c r="G9" s="394" t="s">
        <v>277</v>
      </c>
      <c r="H9" s="212"/>
      <c r="I9" s="212"/>
      <c r="J9" s="410" t="s">
        <v>282</v>
      </c>
      <c r="K9" s="408">
        <f>I10*I11*I12</f>
        <v>0</v>
      </c>
      <c r="M9" s="410" t="s">
        <v>386</v>
      </c>
      <c r="N9" s="408">
        <f>K9*0.65</f>
        <v>0</v>
      </c>
    </row>
    <row r="10" spans="1:11" ht="23.25" customHeight="1">
      <c r="A10" s="640" t="s">
        <v>298</v>
      </c>
      <c r="B10" s="641"/>
      <c r="C10" s="641"/>
      <c r="D10" s="642"/>
      <c r="E10" s="212"/>
      <c r="F10" s="212"/>
      <c r="G10" s="212"/>
      <c r="H10" s="395" t="s">
        <v>279</v>
      </c>
      <c r="I10" s="396">
        <v>3.4</v>
      </c>
      <c r="J10" s="212"/>
      <c r="K10" s="212"/>
    </row>
    <row r="11" spans="1:11" ht="21" customHeight="1">
      <c r="A11" s="637" t="s">
        <v>273</v>
      </c>
      <c r="B11" s="638"/>
      <c r="C11" s="638"/>
      <c r="D11" s="639"/>
      <c r="E11" s="212"/>
      <c r="F11" s="212"/>
      <c r="G11" s="212"/>
      <c r="H11" s="397" t="s">
        <v>280</v>
      </c>
      <c r="I11" s="406">
        <v>1</v>
      </c>
      <c r="J11" s="212"/>
      <c r="K11" s="212"/>
    </row>
    <row r="12" spans="1:11" ht="27.75" customHeight="1" thickBot="1">
      <c r="A12" s="640" t="s">
        <v>296</v>
      </c>
      <c r="B12" s="641"/>
      <c r="C12" s="641"/>
      <c r="D12" s="642"/>
      <c r="E12" s="212"/>
      <c r="F12" s="212"/>
      <c r="G12" s="212"/>
      <c r="H12" s="398" t="s">
        <v>281</v>
      </c>
      <c r="I12" s="407">
        <v>0</v>
      </c>
      <c r="J12" s="212"/>
      <c r="K12" s="212"/>
    </row>
    <row r="13" spans="1:11" ht="26.25" customHeight="1">
      <c r="A13" s="640" t="s">
        <v>297</v>
      </c>
      <c r="B13" s="641"/>
      <c r="C13" s="641"/>
      <c r="D13" s="393"/>
      <c r="E13" s="212"/>
      <c r="F13" s="212"/>
      <c r="G13" s="212"/>
      <c r="H13" s="399"/>
      <c r="I13" s="400"/>
      <c r="J13" s="212"/>
      <c r="K13" s="212"/>
    </row>
    <row r="14" spans="1:14" ht="21" customHeight="1">
      <c r="A14" s="391"/>
      <c r="B14" s="392"/>
      <c r="C14" s="392"/>
      <c r="D14" s="393"/>
      <c r="E14" s="212"/>
      <c r="F14" s="212"/>
      <c r="G14" s="212"/>
      <c r="H14" s="212"/>
      <c r="I14" s="212"/>
      <c r="J14" s="212"/>
      <c r="K14" s="212"/>
      <c r="M14" s="636" t="s">
        <v>385</v>
      </c>
      <c r="N14" s="636"/>
    </row>
    <row r="15" spans="1:11" ht="12.75">
      <c r="A15" s="391"/>
      <c r="B15" s="392"/>
      <c r="C15" s="392"/>
      <c r="D15" s="393"/>
      <c r="E15" s="212"/>
      <c r="F15" s="212"/>
      <c r="G15" s="212"/>
      <c r="H15" s="212"/>
      <c r="I15" s="212"/>
      <c r="J15" s="212"/>
      <c r="K15" s="212"/>
    </row>
    <row r="16" spans="1:14" ht="39" customHeight="1" thickBot="1">
      <c r="A16" s="640" t="s">
        <v>275</v>
      </c>
      <c r="B16" s="641"/>
      <c r="C16" s="641"/>
      <c r="D16" s="642"/>
      <c r="E16" s="212"/>
      <c r="F16" s="212"/>
      <c r="G16" s="401" t="s">
        <v>278</v>
      </c>
      <c r="H16" s="212"/>
      <c r="I16" s="212"/>
      <c r="J16" s="411" t="s">
        <v>285</v>
      </c>
      <c r="K16" s="409">
        <f>I17*I18*I19</f>
        <v>0</v>
      </c>
      <c r="M16" s="411" t="s">
        <v>387</v>
      </c>
      <c r="N16" s="409">
        <f>K16*0.65</f>
        <v>0</v>
      </c>
    </row>
    <row r="17" spans="1:11" ht="22.5" customHeight="1">
      <c r="A17" s="640" t="s">
        <v>299</v>
      </c>
      <c r="B17" s="641"/>
      <c r="C17" s="641"/>
      <c r="D17" s="642"/>
      <c r="E17" s="212"/>
      <c r="F17" s="212"/>
      <c r="G17" s="212"/>
      <c r="H17" s="395" t="s">
        <v>283</v>
      </c>
      <c r="I17" s="396">
        <v>2.55</v>
      </c>
      <c r="J17" s="212"/>
      <c r="K17" s="212"/>
    </row>
    <row r="18" spans="1:11" ht="17.25" customHeight="1">
      <c r="A18" s="637" t="s">
        <v>276</v>
      </c>
      <c r="B18" s="638"/>
      <c r="C18" s="638"/>
      <c r="D18" s="639"/>
      <c r="E18" s="212"/>
      <c r="F18" s="212"/>
      <c r="G18" s="212"/>
      <c r="H18" s="397" t="s">
        <v>284</v>
      </c>
      <c r="I18" s="406">
        <v>0.5</v>
      </c>
      <c r="J18" s="212"/>
      <c r="K18" s="212"/>
    </row>
    <row r="19" spans="1:11" ht="24" customHeight="1" thickBot="1">
      <c r="A19" s="402"/>
      <c r="B19" s="392"/>
      <c r="C19" s="392"/>
      <c r="D19" s="393"/>
      <c r="E19" s="212"/>
      <c r="F19" s="212"/>
      <c r="G19" s="212"/>
      <c r="H19" s="398" t="s">
        <v>281</v>
      </c>
      <c r="I19" s="407">
        <v>0</v>
      </c>
      <c r="J19" s="212"/>
      <c r="K19" s="212"/>
    </row>
    <row r="20" spans="1:11" ht="29.25" customHeight="1">
      <c r="A20" s="640" t="s">
        <v>300</v>
      </c>
      <c r="B20" s="641"/>
      <c r="C20" s="641"/>
      <c r="D20" s="642"/>
      <c r="E20" s="212"/>
      <c r="F20" s="212"/>
      <c r="G20" s="212"/>
      <c r="H20" s="399"/>
      <c r="I20" s="400"/>
      <c r="J20" s="212"/>
      <c r="K20" s="212"/>
    </row>
    <row r="21" spans="1:11" ht="25.5" customHeight="1">
      <c r="A21" s="640" t="s">
        <v>301</v>
      </c>
      <c r="B21" s="641"/>
      <c r="C21" s="641"/>
      <c r="D21" s="642"/>
      <c r="E21" s="212"/>
      <c r="F21" s="212"/>
      <c r="G21" s="212"/>
      <c r="H21" s="403"/>
      <c r="I21" s="404"/>
      <c r="J21" s="212"/>
      <c r="K21" s="212"/>
    </row>
    <row r="22" spans="1:11" ht="18" customHeight="1">
      <c r="A22" s="643" t="s">
        <v>302</v>
      </c>
      <c r="B22" s="644"/>
      <c r="C22" s="644"/>
      <c r="D22" s="405"/>
      <c r="E22" s="212"/>
      <c r="F22" s="212"/>
      <c r="G22" s="212"/>
      <c r="H22" s="212"/>
      <c r="I22" s="212"/>
      <c r="J22" s="212"/>
      <c r="K22" s="212"/>
    </row>
    <row r="24" spans="1:4" ht="32.25" customHeight="1">
      <c r="A24" s="636" t="s">
        <v>385</v>
      </c>
      <c r="B24" s="636"/>
      <c r="C24" s="636"/>
      <c r="D24" s="636"/>
    </row>
    <row r="26" spans="1:4" ht="12.75">
      <c r="A26" s="549" t="s">
        <v>352</v>
      </c>
      <c r="B26" s="549"/>
      <c r="C26" s="549"/>
      <c r="D26" s="549"/>
    </row>
    <row r="27" spans="1:4" ht="12.75">
      <c r="A27" s="549" t="s">
        <v>353</v>
      </c>
      <c r="B27" s="549"/>
      <c r="C27" s="549"/>
      <c r="D27" s="549"/>
    </row>
    <row r="28" spans="1:4" ht="12.75">
      <c r="A28" s="549" t="s">
        <v>354</v>
      </c>
      <c r="B28" s="549"/>
      <c r="C28" s="549"/>
      <c r="D28" s="549"/>
    </row>
    <row r="29" spans="1:4" ht="12.75">
      <c r="A29" s="549" t="s">
        <v>355</v>
      </c>
      <c r="B29" s="549"/>
      <c r="C29" s="549"/>
      <c r="D29" s="549"/>
    </row>
    <row r="30" spans="1:4" ht="12.75">
      <c r="A30" s="549" t="s">
        <v>356</v>
      </c>
      <c r="B30" s="549"/>
      <c r="C30" s="549"/>
      <c r="D30" s="549"/>
    </row>
    <row r="31" spans="1:4" ht="12.75">
      <c r="A31" s="549" t="s">
        <v>357</v>
      </c>
      <c r="B31" s="549"/>
      <c r="C31" s="549"/>
      <c r="D31" s="549"/>
    </row>
    <row r="32" spans="1:4" ht="12.75">
      <c r="A32" s="549" t="s">
        <v>358</v>
      </c>
      <c r="B32" s="549"/>
      <c r="C32" s="549"/>
      <c r="D32" s="549"/>
    </row>
    <row r="33" spans="1:4" ht="12.75">
      <c r="A33" s="549" t="s">
        <v>359</v>
      </c>
      <c r="B33" s="549"/>
      <c r="C33" s="549"/>
      <c r="D33" s="549"/>
    </row>
    <row r="34" spans="1:4" ht="12.75">
      <c r="A34" s="549" t="s">
        <v>360</v>
      </c>
      <c r="B34" s="549"/>
      <c r="C34" s="549"/>
      <c r="D34" s="549"/>
    </row>
    <row r="35" spans="1:4" ht="12.75">
      <c r="A35" s="549" t="s">
        <v>361</v>
      </c>
      <c r="B35" s="549"/>
      <c r="C35" s="549"/>
      <c r="D35" s="549"/>
    </row>
    <row r="36" spans="1:4" ht="12.75">
      <c r="A36" s="549" t="s">
        <v>362</v>
      </c>
      <c r="B36" s="549"/>
      <c r="C36" s="549"/>
      <c r="D36" s="549"/>
    </row>
    <row r="37" spans="1:4" ht="12.75">
      <c r="A37" s="549" t="s">
        <v>363</v>
      </c>
      <c r="B37" s="549"/>
      <c r="C37" s="549"/>
      <c r="D37" s="549"/>
    </row>
    <row r="38" spans="1:4" ht="12.75">
      <c r="A38" s="549" t="s">
        <v>364</v>
      </c>
      <c r="B38" s="549"/>
      <c r="C38" s="549"/>
      <c r="D38" s="549"/>
    </row>
    <row r="39" spans="1:4" ht="12.75">
      <c r="A39" s="549" t="s">
        <v>365</v>
      </c>
      <c r="B39" s="549"/>
      <c r="C39" s="549"/>
      <c r="D39" s="549"/>
    </row>
    <row r="40" spans="1:4" ht="12.75">
      <c r="A40" s="549" t="s">
        <v>366</v>
      </c>
      <c r="B40" s="549"/>
      <c r="C40" s="549"/>
      <c r="D40" s="549"/>
    </row>
    <row r="41" spans="1:4" ht="12.75">
      <c r="A41" s="549" t="s">
        <v>367</v>
      </c>
      <c r="B41" s="549"/>
      <c r="C41" s="549"/>
      <c r="D41" s="549"/>
    </row>
    <row r="42" spans="1:4" ht="12.75">
      <c r="A42" s="549" t="s">
        <v>368</v>
      </c>
      <c r="B42" s="549"/>
      <c r="C42" s="549"/>
      <c r="D42" s="549"/>
    </row>
    <row r="43" spans="1:4" ht="12.75">
      <c r="A43" s="549" t="s">
        <v>369</v>
      </c>
      <c r="B43" s="549"/>
      <c r="C43" s="549"/>
      <c r="D43" s="549"/>
    </row>
    <row r="44" spans="1:4" ht="12.75">
      <c r="A44" s="549" t="s">
        <v>370</v>
      </c>
      <c r="B44" s="549"/>
      <c r="C44" s="549"/>
      <c r="D44" s="549"/>
    </row>
    <row r="45" spans="1:4" ht="12.75">
      <c r="A45" s="549" t="s">
        <v>371</v>
      </c>
      <c r="B45" s="549"/>
      <c r="C45" s="549"/>
      <c r="D45" s="549"/>
    </row>
    <row r="46" spans="1:4" ht="12.75">
      <c r="A46" s="549" t="s">
        <v>372</v>
      </c>
      <c r="B46" s="549"/>
      <c r="C46" s="549"/>
      <c r="D46" s="549"/>
    </row>
    <row r="47" spans="1:4" ht="12.75">
      <c r="A47" s="549" t="s">
        <v>373</v>
      </c>
      <c r="B47" s="549"/>
      <c r="C47" s="549"/>
      <c r="D47" s="549"/>
    </row>
    <row r="48" spans="1:4" ht="12.75">
      <c r="A48" s="549" t="s">
        <v>374</v>
      </c>
      <c r="B48" s="549"/>
      <c r="C48" s="549"/>
      <c r="D48" s="549"/>
    </row>
    <row r="49" spans="1:4" ht="12.75">
      <c r="A49" s="549" t="s">
        <v>375</v>
      </c>
      <c r="B49" s="549"/>
      <c r="C49" s="549"/>
      <c r="D49" s="549"/>
    </row>
    <row r="50" spans="1:4" ht="12.75">
      <c r="A50" s="549" t="s">
        <v>376</v>
      </c>
      <c r="B50" s="549"/>
      <c r="C50" s="549"/>
      <c r="D50" s="549"/>
    </row>
    <row r="51" spans="1:4" ht="12.75">
      <c r="A51" s="550" t="s">
        <v>377</v>
      </c>
      <c r="B51" s="550"/>
      <c r="C51" s="550"/>
      <c r="D51" s="550"/>
    </row>
    <row r="52" spans="1:4" ht="12.75">
      <c r="A52" s="550" t="s">
        <v>378</v>
      </c>
      <c r="B52" s="550"/>
      <c r="C52" s="550"/>
      <c r="D52" s="550"/>
    </row>
    <row r="53" spans="1:4" ht="12.75">
      <c r="A53" s="550" t="s">
        <v>379</v>
      </c>
      <c r="B53" s="550"/>
      <c r="C53" s="550"/>
      <c r="D53" s="550"/>
    </row>
    <row r="54" spans="1:4" ht="12.75">
      <c r="A54" s="550" t="s">
        <v>380</v>
      </c>
      <c r="B54" s="550"/>
      <c r="C54" s="550"/>
      <c r="D54" s="550"/>
    </row>
    <row r="55" spans="1:4" ht="12.75">
      <c r="A55" s="550" t="s">
        <v>381</v>
      </c>
      <c r="B55" s="550"/>
      <c r="C55" s="550"/>
      <c r="D55" s="550"/>
    </row>
    <row r="56" spans="1:4" ht="12.75">
      <c r="A56" s="550" t="s">
        <v>382</v>
      </c>
      <c r="B56" s="550"/>
      <c r="C56" s="550"/>
      <c r="D56" s="550"/>
    </row>
    <row r="57" spans="1:4" ht="12.75">
      <c r="A57" s="550" t="s">
        <v>383</v>
      </c>
      <c r="B57" s="550"/>
      <c r="C57" s="550"/>
      <c r="D57" s="550"/>
    </row>
    <row r="58" spans="1:4" ht="12.75">
      <c r="A58" s="550" t="s">
        <v>384</v>
      </c>
      <c r="B58" s="550"/>
      <c r="C58" s="550"/>
      <c r="D58" s="550"/>
    </row>
    <row r="59" spans="1:4" ht="12.75">
      <c r="A59" s="551">
        <v>-0.05</v>
      </c>
      <c r="B59" s="550"/>
      <c r="C59" s="550"/>
      <c r="D59" s="550"/>
    </row>
  </sheetData>
  <sheetProtection password="D179" sheet="1" objects="1" scenarios="1"/>
  <mergeCells count="20">
    <mergeCell ref="A24:D24"/>
    <mergeCell ref="A1:D1"/>
    <mergeCell ref="A2:D2"/>
    <mergeCell ref="A5:D5"/>
    <mergeCell ref="A6:D6"/>
    <mergeCell ref="A7:D7"/>
    <mergeCell ref="A9:D9"/>
    <mergeCell ref="A4:C4"/>
    <mergeCell ref="A21:D21"/>
    <mergeCell ref="A22:C22"/>
    <mergeCell ref="A17:D17"/>
    <mergeCell ref="A12:D12"/>
    <mergeCell ref="A13:C13"/>
    <mergeCell ref="A16:D16"/>
    <mergeCell ref="M7:N7"/>
    <mergeCell ref="M14:N14"/>
    <mergeCell ref="A18:D18"/>
    <mergeCell ref="A20:D20"/>
    <mergeCell ref="A10:D10"/>
    <mergeCell ref="A11:D11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3"/>
  <sheetViews>
    <sheetView zoomScale="90" zoomScaleNormal="90" zoomScalePageLayoutView="0" workbookViewId="0" topLeftCell="A16">
      <selection activeCell="H9" sqref="H9"/>
    </sheetView>
  </sheetViews>
  <sheetFormatPr defaultColWidth="9.140625" defaultRowHeight="12.75"/>
  <cols>
    <col min="1" max="1" width="25.28125" style="0" customWidth="1"/>
    <col min="2" max="2" width="24.57421875" style="0" customWidth="1"/>
    <col min="3" max="3" width="26.421875" style="0" customWidth="1"/>
    <col min="4" max="4" width="26.28125" style="0" customWidth="1"/>
    <col min="5" max="6" width="14.7109375" style="0" customWidth="1"/>
  </cols>
  <sheetData>
    <row r="1" spans="1:8" ht="32.25" customHeight="1">
      <c r="A1" s="653" t="s">
        <v>162</v>
      </c>
      <c r="B1" s="654"/>
      <c r="C1" s="654"/>
      <c r="D1" s="654"/>
      <c r="E1" s="654"/>
      <c r="F1" s="655"/>
      <c r="G1" s="1"/>
      <c r="H1" s="1"/>
    </row>
    <row r="2" spans="1:8" ht="32.25" customHeight="1">
      <c r="A2" s="650" t="s">
        <v>291</v>
      </c>
      <c r="B2" s="651"/>
      <c r="C2" s="651"/>
      <c r="D2" s="651"/>
      <c r="E2" s="651"/>
      <c r="F2" s="652"/>
      <c r="G2" s="1"/>
      <c r="H2" s="1"/>
    </row>
    <row r="3" spans="1:8" ht="30.75" customHeight="1">
      <c r="A3" s="412" t="s">
        <v>227</v>
      </c>
      <c r="B3" s="413"/>
      <c r="C3" s="413"/>
      <c r="D3" s="413"/>
      <c r="E3" s="413"/>
      <c r="F3" s="414"/>
      <c r="G3" s="1"/>
      <c r="H3" s="1"/>
    </row>
    <row r="4" spans="1:8" ht="23.25" customHeight="1">
      <c r="A4" s="415" t="s">
        <v>224</v>
      </c>
      <c r="B4" s="416" t="s">
        <v>225</v>
      </c>
      <c r="C4" s="416" t="s">
        <v>290</v>
      </c>
      <c r="D4" s="416" t="s">
        <v>292</v>
      </c>
      <c r="E4" s="416"/>
      <c r="F4" s="417" t="s">
        <v>226</v>
      </c>
      <c r="G4" s="1"/>
      <c r="H4" s="1"/>
    </row>
    <row r="5" spans="1:8" ht="24.75" customHeight="1">
      <c r="A5" s="418">
        <f>'U1U2 Funz ABD'!C56</f>
        <v>0</v>
      </c>
      <c r="B5" s="419">
        <f>'U1U2 Funz ABD'!D56</f>
        <v>0</v>
      </c>
      <c r="C5" s="419" t="e">
        <f>'SCHEDA A-QCC NUOVO RESIDENZIALE'!Q42</f>
        <v>#DIV/0!</v>
      </c>
      <c r="D5" s="419">
        <f>('SCHEDA B-QCC ESIST_RESIDENZIAL'!U9)+('SCHEDA B-QCC ESIST_RESIDENZIAL'!I19)</f>
        <v>0</v>
      </c>
      <c r="E5" s="420"/>
      <c r="F5" s="421" t="e">
        <f>SUM(A5:E5)</f>
        <v>#DIV/0!</v>
      </c>
      <c r="G5" s="1"/>
      <c r="H5" s="1"/>
    </row>
    <row r="6" spans="1:8" ht="34.5" customHeight="1">
      <c r="A6" s="422" t="s">
        <v>228</v>
      </c>
      <c r="B6" s="423"/>
      <c r="C6" s="423"/>
      <c r="D6" s="423"/>
      <c r="E6" s="423"/>
      <c r="F6" s="424"/>
      <c r="G6" s="1"/>
      <c r="H6" s="1"/>
    </row>
    <row r="7" spans="1:8" ht="25.5" customHeight="1">
      <c r="A7" s="425" t="s">
        <v>224</v>
      </c>
      <c r="B7" s="426" t="s">
        <v>225</v>
      </c>
      <c r="C7" s="426" t="s">
        <v>290</v>
      </c>
      <c r="D7" s="426" t="s">
        <v>292</v>
      </c>
      <c r="E7" s="426"/>
      <c r="F7" s="427" t="s">
        <v>226</v>
      </c>
      <c r="G7" s="1"/>
      <c r="H7" s="1"/>
    </row>
    <row r="8" spans="1:8" ht="22.5" customHeight="1">
      <c r="A8" s="428">
        <f>'U1U2 Funz ABD'!C56</f>
        <v>0</v>
      </c>
      <c r="B8" s="429">
        <f>'U1U2 Funz ABD'!D56</f>
        <v>0</v>
      </c>
      <c r="C8" s="429">
        <f>'SCHEDA C - New Com Direz Prod_2'!S7</f>
        <v>0</v>
      </c>
      <c r="D8" s="429">
        <f>'SCHEDA D ESIST. Com Direz Prod'!X8</f>
        <v>0</v>
      </c>
      <c r="E8" s="430"/>
      <c r="F8" s="431">
        <f>SUM(A8:E8)</f>
        <v>0</v>
      </c>
      <c r="G8" s="1"/>
      <c r="H8" s="1"/>
    </row>
    <row r="9" spans="1:8" ht="21.75" customHeight="1">
      <c r="A9" s="432" t="s">
        <v>229</v>
      </c>
      <c r="B9" s="423"/>
      <c r="C9" s="423"/>
      <c r="D9" s="423"/>
      <c r="E9" s="423"/>
      <c r="F9" s="424"/>
      <c r="G9" s="1"/>
      <c r="H9" s="1"/>
    </row>
    <row r="10" spans="1:8" ht="25.5" customHeight="1">
      <c r="A10" s="433" t="s">
        <v>224</v>
      </c>
      <c r="B10" s="434" t="s">
        <v>225</v>
      </c>
      <c r="C10" s="434" t="s">
        <v>290</v>
      </c>
      <c r="D10" s="435" t="s">
        <v>292</v>
      </c>
      <c r="E10" s="434"/>
      <c r="F10" s="436" t="s">
        <v>226</v>
      </c>
      <c r="G10" s="1"/>
      <c r="H10" s="1"/>
    </row>
    <row r="11" spans="1:8" ht="26.25" customHeight="1">
      <c r="A11" s="437">
        <f>'U1U2 Funz ABD'!C56</f>
        <v>0</v>
      </c>
      <c r="B11" s="438">
        <f>'U1U2 Funz ABD'!D56</f>
        <v>0</v>
      </c>
      <c r="C11" s="438">
        <f>'SCHEDA C - New Com Direz Prod_2'!S7</f>
        <v>0</v>
      </c>
      <c r="D11" s="438">
        <f>'SCHEDA D ESIST. Com Direz Prod'!X8</f>
        <v>0</v>
      </c>
      <c r="E11" s="439"/>
      <c r="F11" s="440">
        <f>SUM(A11:E11)</f>
        <v>0</v>
      </c>
      <c r="G11" s="1"/>
      <c r="H11" s="1"/>
    </row>
    <row r="12" spans="1:8" ht="63.75" customHeight="1">
      <c r="A12" s="441" t="s">
        <v>286</v>
      </c>
      <c r="B12" s="423"/>
      <c r="C12" s="423"/>
      <c r="D12" s="423"/>
      <c r="E12" s="423"/>
      <c r="F12" s="424"/>
      <c r="G12" s="1"/>
      <c r="H12" s="1"/>
    </row>
    <row r="13" spans="1:8" ht="16.5" customHeight="1">
      <c r="A13" s="442" t="s">
        <v>224</v>
      </c>
      <c r="B13" s="443" t="s">
        <v>225</v>
      </c>
      <c r="C13" s="443" t="s">
        <v>290</v>
      </c>
      <c r="D13" s="444" t="s">
        <v>292</v>
      </c>
      <c r="E13" s="443"/>
      <c r="F13" s="445" t="s">
        <v>226</v>
      </c>
      <c r="G13" s="1"/>
      <c r="H13" s="1"/>
    </row>
    <row r="14" spans="1:8" ht="31.5" customHeight="1">
      <c r="A14" s="446">
        <f>'U1U2 Funz CEF'!C64</f>
        <v>0</v>
      </c>
      <c r="B14" s="447">
        <f>'U1U2 Funz CEF'!D64</f>
        <v>0</v>
      </c>
      <c r="C14" s="447">
        <f>'SCHEDA C - New Com Direz Prod_2'!S7</f>
        <v>0</v>
      </c>
      <c r="D14" s="447">
        <f>'SCHEDA D ESIST. Com Direz Prod'!X8</f>
        <v>0</v>
      </c>
      <c r="E14" s="448"/>
      <c r="F14" s="449">
        <f>SUM(A14:E14)</f>
        <v>0</v>
      </c>
      <c r="G14" s="1"/>
      <c r="H14" s="1"/>
    </row>
    <row r="15" spans="1:8" ht="26.25" customHeight="1">
      <c r="A15" s="450" t="s">
        <v>287</v>
      </c>
      <c r="B15" s="423"/>
      <c r="C15" s="423"/>
      <c r="D15" s="423"/>
      <c r="E15" s="423"/>
      <c r="F15" s="424"/>
      <c r="G15" s="1"/>
      <c r="H15" s="1"/>
    </row>
    <row r="16" spans="1:8" ht="25.5" customHeight="1">
      <c r="A16" s="451" t="s">
        <v>224</v>
      </c>
      <c r="B16" s="452" t="s">
        <v>225</v>
      </c>
      <c r="C16" s="452"/>
      <c r="D16" s="453"/>
      <c r="E16" s="452" t="s">
        <v>303</v>
      </c>
      <c r="F16" s="454" t="s">
        <v>226</v>
      </c>
      <c r="G16" s="1"/>
      <c r="H16" s="1"/>
    </row>
    <row r="17" spans="1:8" ht="20.25" customHeight="1">
      <c r="A17" s="455">
        <f>'U1U2 Funz CEF'!C64</f>
        <v>0</v>
      </c>
      <c r="B17" s="456">
        <f>'U1U2 Funz CEF'!D64</f>
        <v>0</v>
      </c>
      <c r="C17" s="456"/>
      <c r="D17" s="456"/>
      <c r="E17" s="456">
        <f>('D + S'!K9)+('D + S'!K16)</f>
        <v>0</v>
      </c>
      <c r="F17" s="457">
        <f>SUM(A17:E17)</f>
        <v>0</v>
      </c>
      <c r="G17" s="1"/>
      <c r="H17" s="1"/>
    </row>
    <row r="18" spans="1:8" ht="32.25" customHeight="1">
      <c r="A18" s="458" t="s">
        <v>288</v>
      </c>
      <c r="B18" s="423"/>
      <c r="C18" s="423"/>
      <c r="D18" s="423"/>
      <c r="E18" s="423"/>
      <c r="F18" s="424"/>
      <c r="G18" s="1"/>
      <c r="H18" s="1"/>
    </row>
    <row r="19" spans="1:8" ht="23.25" customHeight="1">
      <c r="A19" s="425" t="s">
        <v>224</v>
      </c>
      <c r="B19" s="426" t="s">
        <v>225</v>
      </c>
      <c r="C19" s="426" t="s">
        <v>295</v>
      </c>
      <c r="D19" s="459" t="s">
        <v>292</v>
      </c>
      <c r="E19" s="426"/>
      <c r="F19" s="427" t="s">
        <v>226</v>
      </c>
      <c r="G19" s="1"/>
      <c r="H19" s="1"/>
    </row>
    <row r="20" spans="1:8" ht="22.5" customHeight="1">
      <c r="A20" s="428">
        <f>'U1U2 Funz CEF'!C64</f>
        <v>0</v>
      </c>
      <c r="B20" s="429">
        <f>'U1U2 Funz CEF'!D64</f>
        <v>0</v>
      </c>
      <c r="C20" s="429">
        <f>'SCHEDA C - New Com Direz Prod_2'!S7</f>
        <v>0</v>
      </c>
      <c r="D20" s="429">
        <f>'SCHEDA D ESIST. Com Direz Prod'!X8</f>
        <v>0</v>
      </c>
      <c r="E20" s="430"/>
      <c r="F20" s="431">
        <f>SUM(A20:E20)</f>
        <v>0</v>
      </c>
      <c r="G20" s="1"/>
      <c r="H20" s="1"/>
    </row>
    <row r="21" spans="1:8" ht="29.25" customHeight="1">
      <c r="A21" s="460" t="s">
        <v>289</v>
      </c>
      <c r="B21" s="423"/>
      <c r="C21" s="423"/>
      <c r="D21" s="423"/>
      <c r="E21" s="423"/>
      <c r="F21" s="424"/>
      <c r="G21" s="1"/>
      <c r="H21" s="1"/>
    </row>
    <row r="22" spans="1:8" ht="21.75" customHeight="1">
      <c r="A22" s="461" t="s">
        <v>224</v>
      </c>
      <c r="B22" s="462" t="s">
        <v>225</v>
      </c>
      <c r="C22" s="462"/>
      <c r="D22" s="463"/>
      <c r="E22" s="462" t="s">
        <v>303</v>
      </c>
      <c r="F22" s="464" t="s">
        <v>226</v>
      </c>
      <c r="G22" s="1"/>
      <c r="H22" s="1"/>
    </row>
    <row r="23" spans="1:8" ht="20.25" customHeight="1">
      <c r="A23" s="465">
        <f>'U1U2 Funz CEF'!C64</f>
        <v>0</v>
      </c>
      <c r="B23" s="473">
        <f>'U1U2 Funz CEF'!D64</f>
        <v>0</v>
      </c>
      <c r="C23" s="473"/>
      <c r="D23" s="473"/>
      <c r="E23" s="473">
        <f>('D + S'!K9)+('D + S'!K16)</f>
        <v>0</v>
      </c>
      <c r="F23" s="474">
        <f>SUM(A23:E23)</f>
        <v>0</v>
      </c>
      <c r="G23" s="1"/>
      <c r="H23" s="1"/>
    </row>
  </sheetData>
  <sheetProtection password="D179" sheet="1"/>
  <mergeCells count="2">
    <mergeCell ref="A2:F2"/>
    <mergeCell ref="A1:F1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F11"/>
  <sheetViews>
    <sheetView showGridLines="0" zoomScalePageLayoutView="0" workbookViewId="0" topLeftCell="A4">
      <selection activeCell="E14" sqref="E14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25.5">
      <c r="B1" s="115" t="s">
        <v>124</v>
      </c>
      <c r="C1" s="115"/>
      <c r="D1" s="121"/>
      <c r="E1" s="121"/>
      <c r="F1" s="121"/>
    </row>
    <row r="2" spans="2:6" ht="12.75">
      <c r="B2" s="115" t="s">
        <v>125</v>
      </c>
      <c r="C2" s="115"/>
      <c r="D2" s="121"/>
      <c r="E2" s="121"/>
      <c r="F2" s="121"/>
    </row>
    <row r="3" spans="2:6" ht="12.75">
      <c r="B3" s="116"/>
      <c r="C3" s="116"/>
      <c r="D3" s="122"/>
      <c r="E3" s="122"/>
      <c r="F3" s="122"/>
    </row>
    <row r="4" spans="2:6" ht="51">
      <c r="B4" s="116" t="s">
        <v>126</v>
      </c>
      <c r="C4" s="116"/>
      <c r="D4" s="122"/>
      <c r="E4" s="122"/>
      <c r="F4" s="122"/>
    </row>
    <row r="5" spans="2:6" ht="12.75">
      <c r="B5" s="116"/>
      <c r="C5" s="116"/>
      <c r="D5" s="122"/>
      <c r="E5" s="122"/>
      <c r="F5" s="122"/>
    </row>
    <row r="6" spans="2:6" ht="25.5">
      <c r="B6" s="115" t="s">
        <v>127</v>
      </c>
      <c r="C6" s="115"/>
      <c r="D6" s="121"/>
      <c r="E6" s="121" t="s">
        <v>128</v>
      </c>
      <c r="F6" s="121" t="s">
        <v>129</v>
      </c>
    </row>
    <row r="7" spans="2:6" ht="13.5" thickBot="1">
      <c r="B7" s="116"/>
      <c r="C7" s="116"/>
      <c r="D7" s="122"/>
      <c r="E7" s="122"/>
      <c r="F7" s="122"/>
    </row>
    <row r="8" spans="2:6" ht="51">
      <c r="B8" s="117" t="s">
        <v>130</v>
      </c>
      <c r="C8" s="118"/>
      <c r="D8" s="123"/>
      <c r="E8" s="123">
        <v>2</v>
      </c>
      <c r="F8" s="124"/>
    </row>
    <row r="9" spans="2:6" ht="51.75" thickBot="1">
      <c r="B9" s="119"/>
      <c r="C9" s="120"/>
      <c r="D9" s="125"/>
      <c r="E9" s="126" t="s">
        <v>131</v>
      </c>
      <c r="F9" s="127" t="s">
        <v>132</v>
      </c>
    </row>
    <row r="10" spans="2:6" ht="12.75">
      <c r="B10" s="116"/>
      <c r="C10" s="116"/>
      <c r="D10" s="122"/>
      <c r="E10" s="122"/>
      <c r="F10" s="122"/>
    </row>
    <row r="11" spans="2:6" ht="12.75">
      <c r="B11" s="116"/>
      <c r="C11" s="116"/>
      <c r="D11" s="122"/>
      <c r="E11" s="122"/>
      <c r="F11" s="122"/>
    </row>
  </sheetData>
  <sheetProtection/>
  <hyperlinks>
    <hyperlink ref="E9" location="'SCHEDA A - Cc NEW RESIDENZIALE'!K30:L30" display="'SCHEDA A - Cc NEW RESIDENZIALE'!K30:L30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Cerri</dc:creator>
  <cp:keywords/>
  <dc:description/>
  <cp:lastModifiedBy>usercr</cp:lastModifiedBy>
  <cp:lastPrinted>2019-10-22T12:59:42Z</cp:lastPrinted>
  <dcterms:created xsi:type="dcterms:W3CDTF">2019-09-23T09:50:46Z</dcterms:created>
  <dcterms:modified xsi:type="dcterms:W3CDTF">2019-11-07T08:13:23Z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